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gansaldi\Desktop\finance\2015\"/>
    </mc:Choice>
  </mc:AlternateContent>
  <xr:revisionPtr revIDLastSave="0" documentId="8_{C88B80C8-6AFC-43AB-934C-5494378F6AD7}" xr6:coauthVersionLast="45" xr6:coauthVersionMax="45" xr10:uidLastSave="{00000000-0000-0000-0000-000000000000}"/>
  <bookViews>
    <workbookView xWindow="1350" yWindow="1035" windowWidth="27315" windowHeight="13020" xr2:uid="{00000000-000D-0000-FFFF-FFFF00000000}"/>
  </bookViews>
  <sheets>
    <sheet name="CIP" sheetId="1" r:id="rId1"/>
    <sheet name="Lists" sheetId="2" r:id="rId2"/>
  </sheets>
  <definedNames>
    <definedName name="_xlnm._FilterDatabase" localSheetId="0" hidden="1">CIP!$A$4:$AW$284</definedName>
    <definedName name="CondWeight">CIP!$I$3</definedName>
    <definedName name="Consequence_Ratings">Lists!$D$2:$D$12</definedName>
    <definedName name="Efactor">CIP!$AQ$3</definedName>
    <definedName name="Funding_Source">Lists!$F$2:$F$11</definedName>
    <definedName name="Overall_Condition">Lists!$B$2:$B$12</definedName>
    <definedName name="Percent_Life_Left">Lists!$A$2:$A$12</definedName>
    <definedName name="PLifeWeight">CIP!$J$3</definedName>
    <definedName name="_xlnm.Print_Area" localSheetId="0">CIP!$A$1:$AV$287</definedName>
    <definedName name="_xlnm.Print_Titles" localSheetId="0">CIP!$4:$4</definedName>
    <definedName name="question">CIP!$T$3</definedName>
    <definedName name="really">CIP!$Q$3</definedName>
    <definedName name="rooney">CIP!$O$3</definedName>
    <definedName name="t">CIP!$M$3</definedName>
    <definedName name="Weight">CIP!$N$3</definedName>
    <definedName name="Weight1">CIP!$M$3</definedName>
    <definedName name="Weight2">CIP!$N$3</definedName>
    <definedName name="Weight3">CIP!$O$3</definedName>
    <definedName name="Weight4">CIP!$P$3</definedName>
    <definedName name="Weight5">CIP!$Q$3</definedName>
    <definedName name="Weight6">CIP!$R$3</definedName>
    <definedName name="Weight7">CIP!$S$3</definedName>
    <definedName name="Weight8">CIP!$T$3</definedName>
    <definedName name="WSum">CIP!$U$3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113" i="1" l="1"/>
  <c r="AU113" i="1"/>
  <c r="AE113" i="1"/>
  <c r="U113" i="1"/>
  <c r="V113" i="1" s="1"/>
  <c r="AF113" i="1" s="1"/>
  <c r="AV116" i="1"/>
  <c r="AE116" i="1"/>
  <c r="U116" i="1"/>
  <c r="V116" i="1" s="1"/>
  <c r="AF116" i="1" s="1"/>
  <c r="AV122" i="1"/>
  <c r="AE122" i="1"/>
  <c r="U122" i="1"/>
  <c r="V122" i="1" s="1"/>
  <c r="AF122" i="1" s="1"/>
  <c r="AG113" i="1" l="1"/>
  <c r="AG116" i="1"/>
  <c r="AG122" i="1"/>
  <c r="AT13" i="1"/>
  <c r="AS21" i="1"/>
  <c r="AV111" i="1"/>
  <c r="AV110" i="1"/>
  <c r="AV109" i="1"/>
  <c r="AV108" i="1"/>
  <c r="AU107" i="1"/>
  <c r="AV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T81" i="1"/>
  <c r="AT80" i="1"/>
  <c r="AT79" i="1"/>
  <c r="AT78" i="1"/>
  <c r="AT77" i="1"/>
  <c r="AT76" i="1"/>
  <c r="AT75" i="1"/>
  <c r="AT74" i="1"/>
  <c r="AT73" i="1"/>
  <c r="AT72" i="1"/>
  <c r="AT71" i="1"/>
  <c r="AU70" i="1"/>
  <c r="AT70" i="1"/>
  <c r="AT69" i="1"/>
  <c r="AT68" i="1"/>
  <c r="AT67" i="1"/>
  <c r="AT66" i="1"/>
  <c r="AT65" i="1"/>
  <c r="AT64" i="1"/>
  <c r="AT63" i="1"/>
  <c r="AT62" i="1"/>
  <c r="AU61" i="1"/>
  <c r="AT61" i="1"/>
  <c r="AT60" i="1"/>
  <c r="AT59" i="1"/>
  <c r="AT58" i="1"/>
  <c r="AT57" i="1"/>
  <c r="AT56" i="1"/>
  <c r="AS54" i="1"/>
  <c r="AS53" i="1"/>
  <c r="AS52" i="1"/>
  <c r="AS51" i="1"/>
  <c r="AS50" i="1"/>
  <c r="AS49" i="1"/>
  <c r="AS48" i="1"/>
  <c r="AS47" i="1"/>
  <c r="AS46" i="1"/>
  <c r="AR46" i="1"/>
  <c r="AS45" i="1"/>
  <c r="AS44" i="1"/>
  <c r="AT43" i="1"/>
  <c r="AS43" i="1"/>
  <c r="AS42" i="1"/>
  <c r="AS41" i="1"/>
  <c r="AT40" i="1"/>
  <c r="AS40" i="1"/>
  <c r="AS39" i="1"/>
  <c r="AS38" i="1"/>
  <c r="AS37" i="1"/>
  <c r="AT36" i="1"/>
  <c r="AS36" i="1"/>
  <c r="AS35" i="1"/>
  <c r="AS34" i="1"/>
  <c r="AS33" i="1"/>
  <c r="AR32" i="1"/>
  <c r="AS31" i="1"/>
  <c r="AR30" i="1"/>
  <c r="AR29" i="1"/>
  <c r="AR28" i="1"/>
  <c r="AR27" i="1"/>
  <c r="AR26" i="1"/>
  <c r="AR25" i="1"/>
  <c r="AR24" i="1"/>
  <c r="AR23" i="1"/>
  <c r="AR22" i="1"/>
  <c r="AR21" i="1"/>
  <c r="AR20" i="1"/>
  <c r="AR19" i="1"/>
  <c r="AR18" i="1"/>
  <c r="AR17" i="1"/>
  <c r="AS16" i="1"/>
  <c r="AR16" i="1"/>
  <c r="AR15" i="1"/>
  <c r="AR14" i="1"/>
  <c r="AS13" i="1"/>
  <c r="AR13" i="1"/>
  <c r="AR12" i="1"/>
  <c r="AR11" i="1"/>
  <c r="AT10" i="1"/>
  <c r="AS10" i="1"/>
  <c r="AR10" i="1"/>
  <c r="AV9" i="1"/>
  <c r="AU9" i="1"/>
  <c r="AT9" i="1"/>
  <c r="AS9" i="1"/>
  <c r="AR9" i="1"/>
  <c r="AU8" i="1"/>
  <c r="AT8" i="1"/>
  <c r="AS8" i="1"/>
  <c r="AR8" i="1"/>
  <c r="AR7" i="1"/>
  <c r="AT6" i="1"/>
  <c r="AS6" i="1"/>
  <c r="AR6" i="1"/>
  <c r="AS5" i="1"/>
  <c r="AT285" i="1" l="1"/>
  <c r="AS285" i="1"/>
  <c r="AV3" i="1"/>
  <c r="AU285" i="1"/>
  <c r="AV285" i="1"/>
  <c r="H4" i="1"/>
  <c r="B1" i="1"/>
  <c r="AE81" i="1" l="1"/>
  <c r="U81" i="1"/>
  <c r="V81" i="1" s="1"/>
  <c r="AF81" i="1" s="1"/>
  <c r="AE89" i="1"/>
  <c r="U89" i="1"/>
  <c r="V89" i="1" s="1"/>
  <c r="AF89" i="1" s="1"/>
  <c r="AG89" i="1" l="1"/>
  <c r="AG81" i="1"/>
  <c r="AP285" i="1"/>
  <c r="AO285" i="1"/>
  <c r="AN285" i="1"/>
  <c r="AQ285" i="1"/>
  <c r="AE96" i="1"/>
  <c r="U96" i="1"/>
  <c r="V96" i="1" s="1"/>
  <c r="AF96" i="1" s="1"/>
  <c r="AE48" i="1"/>
  <c r="U48" i="1"/>
  <c r="V48" i="1" s="1"/>
  <c r="AF48" i="1" s="1"/>
  <c r="AE64" i="1"/>
  <c r="U64" i="1"/>
  <c r="V64" i="1" s="1"/>
  <c r="AF64" i="1" s="1"/>
  <c r="AG64" i="1" l="1"/>
  <c r="AG96" i="1"/>
  <c r="AG48" i="1"/>
  <c r="AM285" i="1" l="1"/>
  <c r="H286" i="1" s="1"/>
  <c r="AE7" i="1" l="1"/>
  <c r="U7" i="1"/>
  <c r="V7" i="1" s="1"/>
  <c r="AF7" i="1" s="1"/>
  <c r="AG7" i="1" l="1"/>
  <c r="AR5" i="1" l="1"/>
  <c r="AR285" i="1" s="1"/>
  <c r="AQ4" i="1" l="1"/>
  <c r="AV4" i="1" s="1"/>
  <c r="AE26" i="1" l="1"/>
  <c r="U26" i="1"/>
  <c r="V26" i="1" s="1"/>
  <c r="AF26" i="1" s="1"/>
  <c r="AE246" i="1"/>
  <c r="U246" i="1"/>
  <c r="V246" i="1" s="1"/>
  <c r="AF246" i="1" s="1"/>
  <c r="AE280" i="1"/>
  <c r="U280" i="1"/>
  <c r="V280" i="1" s="1"/>
  <c r="AF280" i="1" s="1"/>
  <c r="AG246" i="1" l="1"/>
  <c r="AG280" i="1"/>
  <c r="AG26" i="1"/>
  <c r="AP4" i="1"/>
  <c r="AO4" i="1"/>
  <c r="AN4" i="1"/>
  <c r="AM4" i="1"/>
  <c r="AR3" i="1" l="1"/>
  <c r="U198" i="1" l="1"/>
  <c r="V198" i="1" s="1"/>
  <c r="AF198" i="1" s="1"/>
  <c r="AE198" i="1"/>
  <c r="AG198" i="1" l="1"/>
  <c r="AE74" i="1" l="1"/>
  <c r="U74" i="1"/>
  <c r="V74" i="1" s="1"/>
  <c r="AF74" i="1" s="1"/>
  <c r="AG74" i="1" l="1"/>
  <c r="AE99" i="1"/>
  <c r="U99" i="1"/>
  <c r="V99" i="1" s="1"/>
  <c r="AF99" i="1" s="1"/>
  <c r="AE86" i="1"/>
  <c r="U86" i="1"/>
  <c r="V86" i="1" s="1"/>
  <c r="AF86" i="1" s="1"/>
  <c r="AE32" i="1"/>
  <c r="U32" i="1"/>
  <c r="V32" i="1" s="1"/>
  <c r="AF32" i="1" s="1"/>
  <c r="AE98" i="1"/>
  <c r="U98" i="1"/>
  <c r="V98" i="1" s="1"/>
  <c r="AF98" i="1" s="1"/>
  <c r="AE47" i="1"/>
  <c r="U47" i="1"/>
  <c r="V47" i="1" s="1"/>
  <c r="AF47" i="1" s="1"/>
  <c r="AE105" i="1"/>
  <c r="U105" i="1"/>
  <c r="V105" i="1" s="1"/>
  <c r="AF105" i="1" s="1"/>
  <c r="AE77" i="1"/>
  <c r="U77" i="1"/>
  <c r="V77" i="1" s="1"/>
  <c r="AF77" i="1" s="1"/>
  <c r="AE50" i="1"/>
  <c r="U50" i="1"/>
  <c r="V50" i="1" s="1"/>
  <c r="AF50" i="1" s="1"/>
  <c r="AE25" i="1"/>
  <c r="U25" i="1"/>
  <c r="V25" i="1" s="1"/>
  <c r="AF25" i="1" s="1"/>
  <c r="AE92" i="1"/>
  <c r="U92" i="1"/>
  <c r="V92" i="1" s="1"/>
  <c r="AF92" i="1" s="1"/>
  <c r="AE60" i="1"/>
  <c r="U60" i="1"/>
  <c r="V60" i="1" s="1"/>
  <c r="AF60" i="1" s="1"/>
  <c r="AE34" i="1"/>
  <c r="U34" i="1"/>
  <c r="V34" i="1" s="1"/>
  <c r="AF34" i="1" s="1"/>
  <c r="AE12" i="1"/>
  <c r="U12" i="1"/>
  <c r="V12" i="1" s="1"/>
  <c r="AF12" i="1" s="1"/>
  <c r="AE83" i="1"/>
  <c r="U83" i="1"/>
  <c r="V83" i="1" s="1"/>
  <c r="AF83" i="1" s="1"/>
  <c r="AE65" i="1"/>
  <c r="U65" i="1"/>
  <c r="V65" i="1" s="1"/>
  <c r="AF65" i="1" s="1"/>
  <c r="AE31" i="1"/>
  <c r="U31" i="1"/>
  <c r="V31" i="1" s="1"/>
  <c r="AF31" i="1" s="1"/>
  <c r="AE15" i="1"/>
  <c r="U15" i="1"/>
  <c r="V15" i="1" s="1"/>
  <c r="AF15" i="1" s="1"/>
  <c r="AE61" i="1"/>
  <c r="U61" i="1"/>
  <c r="V61" i="1" s="1"/>
  <c r="AF61" i="1" s="1"/>
  <c r="AE36" i="1"/>
  <c r="U36" i="1"/>
  <c r="V36" i="1" s="1"/>
  <c r="AF36" i="1" s="1"/>
  <c r="AE16" i="1"/>
  <c r="U16" i="1"/>
  <c r="V16" i="1" s="1"/>
  <c r="AF16" i="1" s="1"/>
  <c r="AE11" i="1"/>
  <c r="U11" i="1"/>
  <c r="V11" i="1" s="1"/>
  <c r="AF11" i="1" s="1"/>
  <c r="AG32" i="1" l="1"/>
  <c r="AG86" i="1"/>
  <c r="AG99" i="1"/>
  <c r="AG47" i="1"/>
  <c r="AG98" i="1"/>
  <c r="AG25" i="1"/>
  <c r="AG50" i="1"/>
  <c r="AG77" i="1"/>
  <c r="AG105" i="1"/>
  <c r="AG34" i="1"/>
  <c r="AG60" i="1"/>
  <c r="AG92" i="1"/>
  <c r="AG12" i="1"/>
  <c r="AG15" i="1"/>
  <c r="AG83" i="1"/>
  <c r="AG31" i="1"/>
  <c r="AG65" i="1"/>
  <c r="AG61" i="1"/>
  <c r="AG36" i="1"/>
  <c r="AG16" i="1"/>
  <c r="AG11" i="1"/>
  <c r="AE71" i="1" l="1"/>
  <c r="U71" i="1"/>
  <c r="V71" i="1" s="1"/>
  <c r="AF71" i="1" s="1"/>
  <c r="AE10" i="1"/>
  <c r="U10" i="1"/>
  <c r="V10" i="1" s="1"/>
  <c r="AF10" i="1" s="1"/>
  <c r="AG71" i="1" l="1"/>
  <c r="AG10" i="1"/>
  <c r="AE28" i="1" l="1"/>
  <c r="U28" i="1"/>
  <c r="V28" i="1" s="1"/>
  <c r="AF28" i="1" s="1"/>
  <c r="AG28" i="1" l="1"/>
  <c r="H285" i="1" l="1"/>
  <c r="AE97" i="1"/>
  <c r="U97" i="1"/>
  <c r="V97" i="1" s="1"/>
  <c r="AF97" i="1" s="1"/>
  <c r="AG97" i="1" l="1"/>
  <c r="AE219" i="1"/>
  <c r="U219" i="1"/>
  <c r="V219" i="1" s="1"/>
  <c r="AF219" i="1" s="1"/>
  <c r="AG219" i="1" l="1"/>
  <c r="U161" i="1" l="1"/>
  <c r="V161" i="1" s="1"/>
  <c r="AF161" i="1" s="1"/>
  <c r="AE161" i="1"/>
  <c r="AG161" i="1" l="1"/>
  <c r="AE87" i="1" l="1"/>
  <c r="U87" i="1"/>
  <c r="V87" i="1" s="1"/>
  <c r="AF87" i="1" s="1"/>
  <c r="AG87" i="1" l="1"/>
  <c r="AE114" i="1" l="1"/>
  <c r="U114" i="1"/>
  <c r="V114" i="1" s="1"/>
  <c r="AF114" i="1" s="1"/>
  <c r="AE231" i="1"/>
  <c r="U231" i="1"/>
  <c r="V231" i="1" s="1"/>
  <c r="AF231" i="1" s="1"/>
  <c r="AE131" i="1"/>
  <c r="U131" i="1"/>
  <c r="V131" i="1" s="1"/>
  <c r="AF131" i="1" s="1"/>
  <c r="AE155" i="1"/>
  <c r="U155" i="1"/>
  <c r="V155" i="1" s="1"/>
  <c r="AF155" i="1" s="1"/>
  <c r="AG114" i="1" l="1"/>
  <c r="AG231" i="1"/>
  <c r="AG131" i="1"/>
  <c r="AG155" i="1"/>
  <c r="AE94" i="1" l="1"/>
  <c r="U94" i="1"/>
  <c r="V94" i="1" s="1"/>
  <c r="AF94" i="1" s="1"/>
  <c r="AE30" i="1"/>
  <c r="U30" i="1"/>
  <c r="V30" i="1" s="1"/>
  <c r="AF30" i="1" s="1"/>
  <c r="AE70" i="1"/>
  <c r="U70" i="1"/>
  <c r="V70" i="1" s="1"/>
  <c r="AF70" i="1" s="1"/>
  <c r="AE42" i="1"/>
  <c r="U42" i="1"/>
  <c r="V42" i="1" s="1"/>
  <c r="AF42" i="1" s="1"/>
  <c r="AE85" i="1"/>
  <c r="U85" i="1"/>
  <c r="V85" i="1" s="1"/>
  <c r="AF85" i="1" s="1"/>
  <c r="AE67" i="1"/>
  <c r="U67" i="1"/>
  <c r="V67" i="1" s="1"/>
  <c r="AF67" i="1" s="1"/>
  <c r="AG42" i="1" l="1"/>
  <c r="AG70" i="1"/>
  <c r="AG94" i="1"/>
  <c r="AG67" i="1"/>
  <c r="AG85" i="1"/>
  <c r="AG30" i="1"/>
  <c r="AE172" i="1" l="1"/>
  <c r="U172" i="1"/>
  <c r="V172" i="1" s="1"/>
  <c r="AF172" i="1" s="1"/>
  <c r="AG172" i="1" l="1"/>
  <c r="AE224" i="1" l="1"/>
  <c r="U224" i="1"/>
  <c r="V224" i="1" s="1"/>
  <c r="AF224" i="1" s="1"/>
  <c r="AE138" i="1"/>
  <c r="U138" i="1"/>
  <c r="V138" i="1" s="1"/>
  <c r="AF138" i="1" s="1"/>
  <c r="AE41" i="1"/>
  <c r="U41" i="1"/>
  <c r="V41" i="1" s="1"/>
  <c r="AF41" i="1" s="1"/>
  <c r="AE188" i="1"/>
  <c r="U188" i="1"/>
  <c r="V188" i="1" s="1"/>
  <c r="AF188" i="1" s="1"/>
  <c r="AE103" i="1"/>
  <c r="U103" i="1"/>
  <c r="V103" i="1" s="1"/>
  <c r="AF103" i="1" s="1"/>
  <c r="AE49" i="1"/>
  <c r="U49" i="1"/>
  <c r="V49" i="1" s="1"/>
  <c r="AF49" i="1" s="1"/>
  <c r="AE200" i="1"/>
  <c r="U200" i="1"/>
  <c r="V200" i="1" s="1"/>
  <c r="AF200" i="1" s="1"/>
  <c r="AE180" i="1"/>
  <c r="U180" i="1"/>
  <c r="V180" i="1" s="1"/>
  <c r="AF180" i="1" s="1"/>
  <c r="AG224" i="1" l="1"/>
  <c r="AG188" i="1"/>
  <c r="AG138" i="1"/>
  <c r="AG49" i="1"/>
  <c r="AG103" i="1"/>
  <c r="AG41" i="1"/>
  <c r="AG180" i="1"/>
  <c r="AG200" i="1"/>
  <c r="AE270" i="1" l="1"/>
  <c r="U270" i="1"/>
  <c r="V270" i="1" s="1"/>
  <c r="AF270" i="1" s="1"/>
  <c r="AG270" i="1" l="1"/>
  <c r="AE111" i="1" l="1"/>
  <c r="U111" i="1"/>
  <c r="V111" i="1" s="1"/>
  <c r="AF111" i="1" s="1"/>
  <c r="AE143" i="1"/>
  <c r="U143" i="1"/>
  <c r="V143" i="1" s="1"/>
  <c r="AF143" i="1" s="1"/>
  <c r="AE76" i="1"/>
  <c r="U76" i="1"/>
  <c r="V76" i="1" s="1"/>
  <c r="AF76" i="1" s="1"/>
  <c r="AE151" i="1"/>
  <c r="U151" i="1"/>
  <c r="V151" i="1" s="1"/>
  <c r="AF151" i="1" s="1"/>
  <c r="AE214" i="1"/>
  <c r="U214" i="1"/>
  <c r="V214" i="1" s="1"/>
  <c r="AF214" i="1" s="1"/>
  <c r="AE93" i="1"/>
  <c r="U93" i="1"/>
  <c r="V93" i="1" s="1"/>
  <c r="AF93" i="1" s="1"/>
  <c r="AE195" i="1"/>
  <c r="U195" i="1"/>
  <c r="V195" i="1" s="1"/>
  <c r="AF195" i="1" s="1"/>
  <c r="AE121" i="1"/>
  <c r="U121" i="1"/>
  <c r="V121" i="1" s="1"/>
  <c r="AF121" i="1" s="1"/>
  <c r="AE124" i="1"/>
  <c r="U124" i="1"/>
  <c r="V124" i="1" s="1"/>
  <c r="AF124" i="1" s="1"/>
  <c r="AG111" i="1" l="1"/>
  <c r="AG143" i="1"/>
  <c r="AG76" i="1"/>
  <c r="AG151" i="1"/>
  <c r="AG214" i="1"/>
  <c r="AG93" i="1"/>
  <c r="AG195" i="1"/>
  <c r="AG121" i="1"/>
  <c r="AG124" i="1"/>
  <c r="AE117" i="1" l="1"/>
  <c r="U117" i="1"/>
  <c r="V117" i="1" s="1"/>
  <c r="AF117" i="1" s="1"/>
  <c r="AE123" i="1"/>
  <c r="U123" i="1"/>
  <c r="V123" i="1" s="1"/>
  <c r="AF123" i="1" s="1"/>
  <c r="AE62" i="1"/>
  <c r="U62" i="1"/>
  <c r="V62" i="1" s="1"/>
  <c r="AF62" i="1" s="1"/>
  <c r="AG117" i="1" l="1"/>
  <c r="AG123" i="1"/>
  <c r="AG62" i="1"/>
  <c r="AU4" i="1" l="1"/>
  <c r="AT4" i="1"/>
  <c r="AS4" i="1"/>
  <c r="AR4" i="1"/>
  <c r="AE267" i="1" l="1"/>
  <c r="AE284" i="1"/>
  <c r="AE150" i="1"/>
  <c r="AE266" i="1"/>
  <c r="AE256" i="1"/>
  <c r="AE269" i="1"/>
  <c r="AE230" i="1"/>
  <c r="AE282" i="1"/>
  <c r="AE273" i="1"/>
  <c r="AE278" i="1"/>
  <c r="AE226" i="1"/>
  <c r="AE75" i="1"/>
  <c r="AE259" i="1"/>
  <c r="AE263" i="1"/>
  <c r="AE261" i="1"/>
  <c r="AE192" i="1"/>
  <c r="AE236" i="1"/>
  <c r="AE276" i="1"/>
  <c r="AE271" i="1"/>
  <c r="AE279" i="1"/>
  <c r="AE244" i="1"/>
  <c r="AE272" i="1"/>
  <c r="AE229" i="1"/>
  <c r="AE21" i="1"/>
  <c r="AE252" i="1"/>
  <c r="AE274" i="1"/>
  <c r="AE250" i="1"/>
  <c r="AE118" i="1"/>
  <c r="AE228" i="1"/>
  <c r="AE119" i="1"/>
  <c r="AE255" i="1"/>
  <c r="AE254" i="1"/>
  <c r="AE88" i="1"/>
  <c r="AE281" i="1"/>
  <c r="AE227" i="1"/>
  <c r="AE135" i="1"/>
  <c r="AE283" i="1"/>
  <c r="AE260" i="1"/>
  <c r="AE225" i="1"/>
  <c r="AE140" i="1"/>
  <c r="AE265" i="1"/>
  <c r="AE262" i="1"/>
  <c r="AE277" i="1"/>
  <c r="AE251" i="1"/>
  <c r="AE234" i="1"/>
  <c r="AE194" i="1"/>
  <c r="AE247" i="1"/>
  <c r="AE237" i="1"/>
  <c r="AE125" i="1"/>
  <c r="AE164" i="1"/>
  <c r="AE249" i="1"/>
  <c r="AE54" i="1"/>
  <c r="AE217" i="1"/>
  <c r="AE179" i="1"/>
  <c r="AE235" i="1"/>
  <c r="AE104" i="1"/>
  <c r="AE101" i="1"/>
  <c r="AE201" i="1"/>
  <c r="AE248" i="1"/>
  <c r="AE146" i="1"/>
  <c r="AE258" i="1"/>
  <c r="AE222" i="1"/>
  <c r="AE209" i="1"/>
  <c r="AE275" i="1"/>
  <c r="AE79" i="1"/>
  <c r="AE80" i="1"/>
  <c r="AE211" i="1"/>
  <c r="AE58" i="1"/>
  <c r="AE154" i="1"/>
  <c r="AE189" i="1"/>
  <c r="AE106" i="1"/>
  <c r="AE68" i="1"/>
  <c r="AE212" i="1"/>
  <c r="AE193" i="1"/>
  <c r="AE110" i="1"/>
  <c r="AE243" i="1"/>
  <c r="AE171" i="1"/>
  <c r="AE210" i="1"/>
  <c r="AE100" i="1"/>
  <c r="AE207" i="1"/>
  <c r="AE178" i="1"/>
  <c r="AE190" i="1"/>
  <c r="AE199" i="1"/>
  <c r="AE177" i="1"/>
  <c r="AE245" i="1"/>
  <c r="AE159" i="1"/>
  <c r="AE176" i="1"/>
  <c r="AE205" i="1"/>
  <c r="AE160" i="1"/>
  <c r="AE165" i="1"/>
  <c r="AE203" i="1"/>
  <c r="AE90" i="1"/>
  <c r="AE191" i="1"/>
  <c r="AE213" i="1"/>
  <c r="AE163" i="1"/>
  <c r="AE257" i="1"/>
  <c r="AE221" i="1"/>
  <c r="AE166" i="1"/>
  <c r="AE139" i="1"/>
  <c r="AE218" i="1"/>
  <c r="AE223" i="1"/>
  <c r="AE206" i="1"/>
  <c r="AE144" i="1"/>
  <c r="AE175" i="1"/>
  <c r="AE134" i="1"/>
  <c r="AE174" i="1"/>
  <c r="AE107" i="1"/>
  <c r="AE241" i="1"/>
  <c r="AE240" i="1"/>
  <c r="AE162" i="1"/>
  <c r="AE29" i="1"/>
  <c r="AE115" i="1"/>
  <c r="AE153" i="1"/>
  <c r="AE149" i="1"/>
  <c r="AE204" i="1"/>
  <c r="AE233" i="1"/>
  <c r="AE132" i="1"/>
  <c r="AE239" i="1"/>
  <c r="AE232" i="1"/>
  <c r="AE95" i="1"/>
  <c r="AE215" i="1"/>
  <c r="AE152" i="1"/>
  <c r="AE197" i="1"/>
  <c r="AE84" i="1"/>
  <c r="AE141" i="1"/>
  <c r="AE133" i="1"/>
  <c r="AE181" i="1"/>
  <c r="AE208" i="1"/>
  <c r="AE130" i="1"/>
  <c r="AE51" i="1"/>
  <c r="AE27" i="1"/>
  <c r="AE220" i="1"/>
  <c r="AE91" i="1"/>
  <c r="AE173" i="1"/>
  <c r="AE82" i="1"/>
  <c r="AE183" i="1"/>
  <c r="AE184" i="1"/>
  <c r="AE170" i="1"/>
  <c r="AE186" i="1"/>
  <c r="AE185" i="1"/>
  <c r="AE242" i="1"/>
  <c r="AE168" i="1"/>
  <c r="AE202" i="1"/>
  <c r="AE182" i="1"/>
  <c r="AE253" i="1"/>
  <c r="AE112" i="1"/>
  <c r="AE18" i="1"/>
  <c r="AE238" i="1"/>
  <c r="AE196" i="1"/>
  <c r="AE56" i="1"/>
  <c r="AE137" i="1"/>
  <c r="AE268" i="1"/>
  <c r="AE158" i="1"/>
  <c r="AE264" i="1"/>
  <c r="AE142" i="1"/>
  <c r="AE156" i="1"/>
  <c r="AE43" i="1"/>
  <c r="AE66" i="1"/>
  <c r="AE52" i="1"/>
  <c r="AE187" i="1"/>
  <c r="AE148" i="1"/>
  <c r="AE59" i="1"/>
  <c r="AE78" i="1"/>
  <c r="AE216" i="1"/>
  <c r="AE108" i="1"/>
  <c r="AE136" i="1"/>
  <c r="AE45" i="1"/>
  <c r="AE120" i="1"/>
  <c r="AE37" i="1"/>
  <c r="AE57" i="1"/>
  <c r="AE157" i="1"/>
  <c r="AE145" i="1"/>
  <c r="AE167" i="1"/>
  <c r="AE44" i="1"/>
  <c r="AE33" i="1"/>
  <c r="AE129" i="1"/>
  <c r="AE69" i="1"/>
  <c r="AE40" i="1"/>
  <c r="AE39" i="1"/>
  <c r="AE102" i="1"/>
  <c r="AE127" i="1"/>
  <c r="AE73" i="1"/>
  <c r="AE72" i="1"/>
  <c r="AE53" i="1"/>
  <c r="AE23" i="1"/>
  <c r="AE20" i="1"/>
  <c r="AE38" i="1"/>
  <c r="AE14" i="1"/>
  <c r="AE35" i="1"/>
  <c r="AE9" i="1"/>
  <c r="AE13" i="1"/>
  <c r="AE126" i="1"/>
  <c r="AE24" i="1"/>
  <c r="AE19" i="1"/>
  <c r="AE8" i="1"/>
  <c r="AE22" i="1"/>
  <c r="AE63" i="1"/>
  <c r="AE46" i="1"/>
  <c r="AE17" i="1"/>
  <c r="AE128" i="1"/>
  <c r="AE147" i="1"/>
  <c r="AE109" i="1"/>
  <c r="AE169" i="1"/>
  <c r="AE6" i="1"/>
  <c r="AE5" i="1"/>
  <c r="U3" i="1"/>
  <c r="U267" i="1"/>
  <c r="V267" i="1" s="1"/>
  <c r="AF267" i="1" s="1"/>
  <c r="U284" i="1"/>
  <c r="V284" i="1" s="1"/>
  <c r="AF284" i="1" s="1"/>
  <c r="U150" i="1"/>
  <c r="V150" i="1" s="1"/>
  <c r="AF150" i="1" s="1"/>
  <c r="U266" i="1"/>
  <c r="V266" i="1" s="1"/>
  <c r="AF266" i="1" s="1"/>
  <c r="U256" i="1"/>
  <c r="V256" i="1" s="1"/>
  <c r="AF256" i="1" s="1"/>
  <c r="U269" i="1"/>
  <c r="V269" i="1" s="1"/>
  <c r="AF269" i="1" s="1"/>
  <c r="U230" i="1"/>
  <c r="V230" i="1" s="1"/>
  <c r="AF230" i="1" s="1"/>
  <c r="U282" i="1"/>
  <c r="V282" i="1" s="1"/>
  <c r="AF282" i="1" s="1"/>
  <c r="U273" i="1"/>
  <c r="V273" i="1" s="1"/>
  <c r="AF273" i="1" s="1"/>
  <c r="U278" i="1"/>
  <c r="V278" i="1" s="1"/>
  <c r="AF278" i="1" s="1"/>
  <c r="U226" i="1"/>
  <c r="V226" i="1" s="1"/>
  <c r="AF226" i="1" s="1"/>
  <c r="U75" i="1"/>
  <c r="V75" i="1" s="1"/>
  <c r="AF75" i="1" s="1"/>
  <c r="U259" i="1"/>
  <c r="V259" i="1" s="1"/>
  <c r="AF259" i="1" s="1"/>
  <c r="U263" i="1"/>
  <c r="V263" i="1" s="1"/>
  <c r="AF263" i="1" s="1"/>
  <c r="U261" i="1"/>
  <c r="V261" i="1" s="1"/>
  <c r="AF261" i="1" s="1"/>
  <c r="U192" i="1"/>
  <c r="V192" i="1" s="1"/>
  <c r="AF192" i="1" s="1"/>
  <c r="U236" i="1"/>
  <c r="V236" i="1" s="1"/>
  <c r="AF236" i="1" s="1"/>
  <c r="U276" i="1"/>
  <c r="V276" i="1" s="1"/>
  <c r="AF276" i="1" s="1"/>
  <c r="U271" i="1"/>
  <c r="V271" i="1" s="1"/>
  <c r="AF271" i="1" s="1"/>
  <c r="U279" i="1"/>
  <c r="V279" i="1" s="1"/>
  <c r="AF279" i="1" s="1"/>
  <c r="U244" i="1"/>
  <c r="V244" i="1" s="1"/>
  <c r="AF244" i="1" s="1"/>
  <c r="U272" i="1"/>
  <c r="V272" i="1" s="1"/>
  <c r="AF272" i="1" s="1"/>
  <c r="U229" i="1"/>
  <c r="V229" i="1" s="1"/>
  <c r="AF229" i="1" s="1"/>
  <c r="U21" i="1"/>
  <c r="V21" i="1" s="1"/>
  <c r="AF21" i="1" s="1"/>
  <c r="U252" i="1"/>
  <c r="V252" i="1" s="1"/>
  <c r="AF252" i="1" s="1"/>
  <c r="U274" i="1"/>
  <c r="V274" i="1" s="1"/>
  <c r="AF274" i="1" s="1"/>
  <c r="U250" i="1"/>
  <c r="V250" i="1" s="1"/>
  <c r="AF250" i="1" s="1"/>
  <c r="U118" i="1"/>
  <c r="V118" i="1" s="1"/>
  <c r="AF118" i="1" s="1"/>
  <c r="U228" i="1"/>
  <c r="V228" i="1" s="1"/>
  <c r="AF228" i="1" s="1"/>
  <c r="U119" i="1"/>
  <c r="V119" i="1" s="1"/>
  <c r="AF119" i="1" s="1"/>
  <c r="U255" i="1"/>
  <c r="V255" i="1" s="1"/>
  <c r="AF255" i="1" s="1"/>
  <c r="U254" i="1"/>
  <c r="V254" i="1" s="1"/>
  <c r="AF254" i="1" s="1"/>
  <c r="U88" i="1"/>
  <c r="V88" i="1" s="1"/>
  <c r="AF88" i="1" s="1"/>
  <c r="U281" i="1"/>
  <c r="V281" i="1" s="1"/>
  <c r="AF281" i="1" s="1"/>
  <c r="U227" i="1"/>
  <c r="V227" i="1" s="1"/>
  <c r="AF227" i="1" s="1"/>
  <c r="U135" i="1"/>
  <c r="V135" i="1" s="1"/>
  <c r="AF135" i="1" s="1"/>
  <c r="U283" i="1"/>
  <c r="V283" i="1" s="1"/>
  <c r="AF283" i="1" s="1"/>
  <c r="U260" i="1"/>
  <c r="V260" i="1" s="1"/>
  <c r="AF260" i="1" s="1"/>
  <c r="U225" i="1"/>
  <c r="V225" i="1" s="1"/>
  <c r="AF225" i="1" s="1"/>
  <c r="U140" i="1"/>
  <c r="V140" i="1" s="1"/>
  <c r="AF140" i="1" s="1"/>
  <c r="U265" i="1"/>
  <c r="V265" i="1" s="1"/>
  <c r="AF265" i="1" s="1"/>
  <c r="U262" i="1"/>
  <c r="V262" i="1" s="1"/>
  <c r="AF262" i="1" s="1"/>
  <c r="U277" i="1"/>
  <c r="V277" i="1" s="1"/>
  <c r="AF277" i="1" s="1"/>
  <c r="U251" i="1"/>
  <c r="V251" i="1" s="1"/>
  <c r="AF251" i="1" s="1"/>
  <c r="U234" i="1"/>
  <c r="V234" i="1" s="1"/>
  <c r="AF234" i="1" s="1"/>
  <c r="U194" i="1"/>
  <c r="V194" i="1" s="1"/>
  <c r="AF194" i="1" s="1"/>
  <c r="U247" i="1"/>
  <c r="V247" i="1" s="1"/>
  <c r="AF247" i="1" s="1"/>
  <c r="U237" i="1"/>
  <c r="V237" i="1" s="1"/>
  <c r="AF237" i="1" s="1"/>
  <c r="U125" i="1"/>
  <c r="V125" i="1" s="1"/>
  <c r="AF125" i="1" s="1"/>
  <c r="U164" i="1"/>
  <c r="V164" i="1" s="1"/>
  <c r="AF164" i="1" s="1"/>
  <c r="U249" i="1"/>
  <c r="V249" i="1" s="1"/>
  <c r="AF249" i="1" s="1"/>
  <c r="U54" i="1"/>
  <c r="V54" i="1" s="1"/>
  <c r="AF54" i="1" s="1"/>
  <c r="U217" i="1"/>
  <c r="V217" i="1" s="1"/>
  <c r="AF217" i="1" s="1"/>
  <c r="U179" i="1"/>
  <c r="V179" i="1" s="1"/>
  <c r="AF179" i="1" s="1"/>
  <c r="U235" i="1"/>
  <c r="V235" i="1" s="1"/>
  <c r="AF235" i="1" s="1"/>
  <c r="U104" i="1"/>
  <c r="V104" i="1" s="1"/>
  <c r="AF104" i="1" s="1"/>
  <c r="U101" i="1"/>
  <c r="V101" i="1" s="1"/>
  <c r="AF101" i="1" s="1"/>
  <c r="U201" i="1"/>
  <c r="V201" i="1" s="1"/>
  <c r="AF201" i="1" s="1"/>
  <c r="U248" i="1"/>
  <c r="V248" i="1" s="1"/>
  <c r="AF248" i="1" s="1"/>
  <c r="U146" i="1"/>
  <c r="V146" i="1" s="1"/>
  <c r="AF146" i="1" s="1"/>
  <c r="U258" i="1"/>
  <c r="V258" i="1" s="1"/>
  <c r="AF258" i="1" s="1"/>
  <c r="U222" i="1"/>
  <c r="V222" i="1" s="1"/>
  <c r="AF222" i="1" s="1"/>
  <c r="U209" i="1"/>
  <c r="V209" i="1" s="1"/>
  <c r="AF209" i="1" s="1"/>
  <c r="U275" i="1"/>
  <c r="V275" i="1" s="1"/>
  <c r="AF275" i="1" s="1"/>
  <c r="U79" i="1"/>
  <c r="V79" i="1" s="1"/>
  <c r="AF79" i="1" s="1"/>
  <c r="U80" i="1"/>
  <c r="V80" i="1" s="1"/>
  <c r="AF80" i="1" s="1"/>
  <c r="U211" i="1"/>
  <c r="V211" i="1" s="1"/>
  <c r="AF211" i="1" s="1"/>
  <c r="U58" i="1"/>
  <c r="V58" i="1" s="1"/>
  <c r="AF58" i="1" s="1"/>
  <c r="U154" i="1"/>
  <c r="V154" i="1" s="1"/>
  <c r="AF154" i="1" s="1"/>
  <c r="U189" i="1"/>
  <c r="V189" i="1" s="1"/>
  <c r="AF189" i="1" s="1"/>
  <c r="U106" i="1"/>
  <c r="V106" i="1" s="1"/>
  <c r="AF106" i="1" s="1"/>
  <c r="U68" i="1"/>
  <c r="V68" i="1" s="1"/>
  <c r="AF68" i="1" s="1"/>
  <c r="U212" i="1"/>
  <c r="V212" i="1" s="1"/>
  <c r="AF212" i="1" s="1"/>
  <c r="U193" i="1"/>
  <c r="V193" i="1" s="1"/>
  <c r="AF193" i="1" s="1"/>
  <c r="U110" i="1"/>
  <c r="V110" i="1" s="1"/>
  <c r="AF110" i="1" s="1"/>
  <c r="U243" i="1"/>
  <c r="V243" i="1" s="1"/>
  <c r="AF243" i="1" s="1"/>
  <c r="U171" i="1"/>
  <c r="V171" i="1" s="1"/>
  <c r="AF171" i="1" s="1"/>
  <c r="U210" i="1"/>
  <c r="V210" i="1" s="1"/>
  <c r="AF210" i="1" s="1"/>
  <c r="U100" i="1"/>
  <c r="V100" i="1" s="1"/>
  <c r="AF100" i="1" s="1"/>
  <c r="U207" i="1"/>
  <c r="V207" i="1" s="1"/>
  <c r="AF207" i="1" s="1"/>
  <c r="U178" i="1"/>
  <c r="V178" i="1" s="1"/>
  <c r="AF178" i="1" s="1"/>
  <c r="U190" i="1"/>
  <c r="V190" i="1" s="1"/>
  <c r="AF190" i="1" s="1"/>
  <c r="U199" i="1"/>
  <c r="V199" i="1" s="1"/>
  <c r="AF199" i="1" s="1"/>
  <c r="U177" i="1"/>
  <c r="V177" i="1" s="1"/>
  <c r="AF177" i="1" s="1"/>
  <c r="U245" i="1"/>
  <c r="V245" i="1" s="1"/>
  <c r="AF245" i="1" s="1"/>
  <c r="U159" i="1"/>
  <c r="V159" i="1" s="1"/>
  <c r="AF159" i="1" s="1"/>
  <c r="U176" i="1"/>
  <c r="V176" i="1" s="1"/>
  <c r="AF176" i="1" s="1"/>
  <c r="U205" i="1"/>
  <c r="V205" i="1" s="1"/>
  <c r="AF205" i="1" s="1"/>
  <c r="U160" i="1"/>
  <c r="V160" i="1" s="1"/>
  <c r="AF160" i="1" s="1"/>
  <c r="U165" i="1"/>
  <c r="V165" i="1" s="1"/>
  <c r="AF165" i="1" s="1"/>
  <c r="U203" i="1"/>
  <c r="V203" i="1" s="1"/>
  <c r="AF203" i="1" s="1"/>
  <c r="U90" i="1"/>
  <c r="V90" i="1" s="1"/>
  <c r="AF90" i="1" s="1"/>
  <c r="U191" i="1"/>
  <c r="V191" i="1" s="1"/>
  <c r="AF191" i="1" s="1"/>
  <c r="U213" i="1"/>
  <c r="V213" i="1" s="1"/>
  <c r="AF213" i="1" s="1"/>
  <c r="U163" i="1"/>
  <c r="V163" i="1" s="1"/>
  <c r="AF163" i="1" s="1"/>
  <c r="U257" i="1"/>
  <c r="V257" i="1" s="1"/>
  <c r="AF257" i="1" s="1"/>
  <c r="U221" i="1"/>
  <c r="V221" i="1" s="1"/>
  <c r="AF221" i="1" s="1"/>
  <c r="U166" i="1"/>
  <c r="V166" i="1" s="1"/>
  <c r="AF166" i="1" s="1"/>
  <c r="U139" i="1"/>
  <c r="V139" i="1" s="1"/>
  <c r="AF139" i="1" s="1"/>
  <c r="U218" i="1"/>
  <c r="V218" i="1" s="1"/>
  <c r="AF218" i="1" s="1"/>
  <c r="U223" i="1"/>
  <c r="V223" i="1" s="1"/>
  <c r="AF223" i="1" s="1"/>
  <c r="U206" i="1"/>
  <c r="V206" i="1" s="1"/>
  <c r="AF206" i="1" s="1"/>
  <c r="U144" i="1"/>
  <c r="V144" i="1" s="1"/>
  <c r="AF144" i="1" s="1"/>
  <c r="U175" i="1"/>
  <c r="V175" i="1" s="1"/>
  <c r="AF175" i="1" s="1"/>
  <c r="U134" i="1"/>
  <c r="V134" i="1" s="1"/>
  <c r="AF134" i="1" s="1"/>
  <c r="U174" i="1"/>
  <c r="V174" i="1" s="1"/>
  <c r="AF174" i="1" s="1"/>
  <c r="U107" i="1"/>
  <c r="V107" i="1" s="1"/>
  <c r="AF107" i="1" s="1"/>
  <c r="U241" i="1"/>
  <c r="V241" i="1" s="1"/>
  <c r="AF241" i="1" s="1"/>
  <c r="U240" i="1"/>
  <c r="V240" i="1" s="1"/>
  <c r="AF240" i="1" s="1"/>
  <c r="U162" i="1"/>
  <c r="V162" i="1" s="1"/>
  <c r="AF162" i="1" s="1"/>
  <c r="U29" i="1"/>
  <c r="V29" i="1" s="1"/>
  <c r="AF29" i="1" s="1"/>
  <c r="U115" i="1"/>
  <c r="V115" i="1" s="1"/>
  <c r="AF115" i="1" s="1"/>
  <c r="U153" i="1"/>
  <c r="V153" i="1" s="1"/>
  <c r="AF153" i="1" s="1"/>
  <c r="U149" i="1"/>
  <c r="V149" i="1" s="1"/>
  <c r="AF149" i="1" s="1"/>
  <c r="U204" i="1"/>
  <c r="V204" i="1" s="1"/>
  <c r="AF204" i="1" s="1"/>
  <c r="U233" i="1"/>
  <c r="V233" i="1" s="1"/>
  <c r="AF233" i="1" s="1"/>
  <c r="U132" i="1"/>
  <c r="V132" i="1" s="1"/>
  <c r="AF132" i="1" s="1"/>
  <c r="U239" i="1"/>
  <c r="V239" i="1" s="1"/>
  <c r="AF239" i="1" s="1"/>
  <c r="U232" i="1"/>
  <c r="V232" i="1" s="1"/>
  <c r="AF232" i="1" s="1"/>
  <c r="U95" i="1"/>
  <c r="V95" i="1" s="1"/>
  <c r="AF95" i="1" s="1"/>
  <c r="U215" i="1"/>
  <c r="V215" i="1" s="1"/>
  <c r="AF215" i="1" s="1"/>
  <c r="U152" i="1"/>
  <c r="V152" i="1" s="1"/>
  <c r="AF152" i="1" s="1"/>
  <c r="U197" i="1"/>
  <c r="V197" i="1" s="1"/>
  <c r="AF197" i="1" s="1"/>
  <c r="U84" i="1"/>
  <c r="V84" i="1" s="1"/>
  <c r="AF84" i="1" s="1"/>
  <c r="U141" i="1"/>
  <c r="V141" i="1" s="1"/>
  <c r="AF141" i="1" s="1"/>
  <c r="U133" i="1"/>
  <c r="V133" i="1" s="1"/>
  <c r="AF133" i="1" s="1"/>
  <c r="U181" i="1"/>
  <c r="V181" i="1" s="1"/>
  <c r="AF181" i="1" s="1"/>
  <c r="U208" i="1"/>
  <c r="V208" i="1" s="1"/>
  <c r="AF208" i="1" s="1"/>
  <c r="U130" i="1"/>
  <c r="V130" i="1" s="1"/>
  <c r="AF130" i="1" s="1"/>
  <c r="U51" i="1"/>
  <c r="V51" i="1" s="1"/>
  <c r="AF51" i="1" s="1"/>
  <c r="U27" i="1"/>
  <c r="V27" i="1" s="1"/>
  <c r="AF27" i="1" s="1"/>
  <c r="U220" i="1"/>
  <c r="V220" i="1" s="1"/>
  <c r="AF220" i="1" s="1"/>
  <c r="U91" i="1"/>
  <c r="V91" i="1" s="1"/>
  <c r="AF91" i="1" s="1"/>
  <c r="U173" i="1"/>
  <c r="V173" i="1" s="1"/>
  <c r="AF173" i="1" s="1"/>
  <c r="U82" i="1"/>
  <c r="V82" i="1" s="1"/>
  <c r="AF82" i="1" s="1"/>
  <c r="U183" i="1"/>
  <c r="V183" i="1" s="1"/>
  <c r="AF183" i="1" s="1"/>
  <c r="U184" i="1"/>
  <c r="V184" i="1" s="1"/>
  <c r="AF184" i="1" s="1"/>
  <c r="U170" i="1"/>
  <c r="V170" i="1" s="1"/>
  <c r="AF170" i="1" s="1"/>
  <c r="U186" i="1"/>
  <c r="V186" i="1" s="1"/>
  <c r="AF186" i="1" s="1"/>
  <c r="U185" i="1"/>
  <c r="V185" i="1" s="1"/>
  <c r="AF185" i="1" s="1"/>
  <c r="U242" i="1"/>
  <c r="V242" i="1" s="1"/>
  <c r="AF242" i="1" s="1"/>
  <c r="U168" i="1"/>
  <c r="V168" i="1" s="1"/>
  <c r="AF168" i="1" s="1"/>
  <c r="U202" i="1"/>
  <c r="V202" i="1" s="1"/>
  <c r="AF202" i="1" s="1"/>
  <c r="U182" i="1"/>
  <c r="V182" i="1" s="1"/>
  <c r="AF182" i="1" s="1"/>
  <c r="U253" i="1"/>
  <c r="V253" i="1" s="1"/>
  <c r="AF253" i="1" s="1"/>
  <c r="U112" i="1"/>
  <c r="V112" i="1" s="1"/>
  <c r="AF112" i="1" s="1"/>
  <c r="U18" i="1"/>
  <c r="V18" i="1" s="1"/>
  <c r="AF18" i="1" s="1"/>
  <c r="U238" i="1"/>
  <c r="V238" i="1" s="1"/>
  <c r="AF238" i="1" s="1"/>
  <c r="U196" i="1"/>
  <c r="V196" i="1" s="1"/>
  <c r="AF196" i="1" s="1"/>
  <c r="U56" i="1"/>
  <c r="V56" i="1" s="1"/>
  <c r="AF56" i="1" s="1"/>
  <c r="U137" i="1"/>
  <c r="V137" i="1" s="1"/>
  <c r="AF137" i="1" s="1"/>
  <c r="U268" i="1"/>
  <c r="V268" i="1" s="1"/>
  <c r="AF268" i="1" s="1"/>
  <c r="U158" i="1"/>
  <c r="V158" i="1" s="1"/>
  <c r="AF158" i="1" s="1"/>
  <c r="U264" i="1"/>
  <c r="V264" i="1" s="1"/>
  <c r="AF264" i="1" s="1"/>
  <c r="U142" i="1"/>
  <c r="V142" i="1" s="1"/>
  <c r="AF142" i="1" s="1"/>
  <c r="U156" i="1"/>
  <c r="V156" i="1" s="1"/>
  <c r="AF156" i="1" s="1"/>
  <c r="U43" i="1"/>
  <c r="V43" i="1" s="1"/>
  <c r="AF43" i="1" s="1"/>
  <c r="U66" i="1"/>
  <c r="V66" i="1" s="1"/>
  <c r="AF66" i="1" s="1"/>
  <c r="U52" i="1"/>
  <c r="V52" i="1" s="1"/>
  <c r="AF52" i="1" s="1"/>
  <c r="U187" i="1"/>
  <c r="V187" i="1" s="1"/>
  <c r="AF187" i="1" s="1"/>
  <c r="U148" i="1"/>
  <c r="V148" i="1" s="1"/>
  <c r="AF148" i="1" s="1"/>
  <c r="U59" i="1"/>
  <c r="V59" i="1" s="1"/>
  <c r="AF59" i="1" s="1"/>
  <c r="U78" i="1"/>
  <c r="V78" i="1" s="1"/>
  <c r="AF78" i="1" s="1"/>
  <c r="U216" i="1"/>
  <c r="V216" i="1" s="1"/>
  <c r="AF216" i="1" s="1"/>
  <c r="U108" i="1"/>
  <c r="V108" i="1" s="1"/>
  <c r="AF108" i="1" s="1"/>
  <c r="U136" i="1"/>
  <c r="V136" i="1" s="1"/>
  <c r="AF136" i="1" s="1"/>
  <c r="U45" i="1"/>
  <c r="V45" i="1" s="1"/>
  <c r="AF45" i="1" s="1"/>
  <c r="U120" i="1"/>
  <c r="V120" i="1" s="1"/>
  <c r="AF120" i="1" s="1"/>
  <c r="U37" i="1"/>
  <c r="V37" i="1" s="1"/>
  <c r="AF37" i="1" s="1"/>
  <c r="U57" i="1"/>
  <c r="V57" i="1" s="1"/>
  <c r="AF57" i="1" s="1"/>
  <c r="U157" i="1"/>
  <c r="V157" i="1" s="1"/>
  <c r="AF157" i="1" s="1"/>
  <c r="U145" i="1"/>
  <c r="V145" i="1" s="1"/>
  <c r="AF145" i="1" s="1"/>
  <c r="U167" i="1"/>
  <c r="V167" i="1" s="1"/>
  <c r="AF167" i="1" s="1"/>
  <c r="U44" i="1"/>
  <c r="V44" i="1" s="1"/>
  <c r="AF44" i="1" s="1"/>
  <c r="U33" i="1"/>
  <c r="V33" i="1" s="1"/>
  <c r="AF33" i="1" s="1"/>
  <c r="U129" i="1"/>
  <c r="V129" i="1" s="1"/>
  <c r="AF129" i="1" s="1"/>
  <c r="U69" i="1"/>
  <c r="V69" i="1" s="1"/>
  <c r="AF69" i="1" s="1"/>
  <c r="U40" i="1"/>
  <c r="V40" i="1" s="1"/>
  <c r="AF40" i="1" s="1"/>
  <c r="U39" i="1"/>
  <c r="V39" i="1" s="1"/>
  <c r="AF39" i="1" s="1"/>
  <c r="U102" i="1"/>
  <c r="V102" i="1" s="1"/>
  <c r="AF102" i="1" s="1"/>
  <c r="U127" i="1"/>
  <c r="V127" i="1" s="1"/>
  <c r="AF127" i="1" s="1"/>
  <c r="U73" i="1"/>
  <c r="V73" i="1" s="1"/>
  <c r="AF73" i="1" s="1"/>
  <c r="U72" i="1"/>
  <c r="V72" i="1" s="1"/>
  <c r="AF72" i="1" s="1"/>
  <c r="U53" i="1"/>
  <c r="V53" i="1" s="1"/>
  <c r="AF53" i="1" s="1"/>
  <c r="U23" i="1"/>
  <c r="V23" i="1" s="1"/>
  <c r="AF23" i="1" s="1"/>
  <c r="U20" i="1"/>
  <c r="V20" i="1" s="1"/>
  <c r="AF20" i="1" s="1"/>
  <c r="U38" i="1"/>
  <c r="V38" i="1" s="1"/>
  <c r="AF38" i="1" s="1"/>
  <c r="U14" i="1"/>
  <c r="V14" i="1" s="1"/>
  <c r="AF14" i="1" s="1"/>
  <c r="U35" i="1"/>
  <c r="V35" i="1" s="1"/>
  <c r="AF35" i="1" s="1"/>
  <c r="U9" i="1"/>
  <c r="V9" i="1" s="1"/>
  <c r="AF9" i="1" s="1"/>
  <c r="U13" i="1"/>
  <c r="V13" i="1" s="1"/>
  <c r="AF13" i="1" s="1"/>
  <c r="U126" i="1"/>
  <c r="V126" i="1" s="1"/>
  <c r="AF126" i="1" s="1"/>
  <c r="U24" i="1"/>
  <c r="V24" i="1" s="1"/>
  <c r="AF24" i="1" s="1"/>
  <c r="U19" i="1"/>
  <c r="V19" i="1" s="1"/>
  <c r="AF19" i="1" s="1"/>
  <c r="U8" i="1"/>
  <c r="V8" i="1" s="1"/>
  <c r="AF8" i="1" s="1"/>
  <c r="U22" i="1"/>
  <c r="V22" i="1" s="1"/>
  <c r="AF22" i="1" s="1"/>
  <c r="U63" i="1"/>
  <c r="V63" i="1" s="1"/>
  <c r="AF63" i="1" s="1"/>
  <c r="U46" i="1"/>
  <c r="V46" i="1" s="1"/>
  <c r="AF46" i="1" s="1"/>
  <c r="U17" i="1"/>
  <c r="V17" i="1" s="1"/>
  <c r="AF17" i="1" s="1"/>
  <c r="U128" i="1"/>
  <c r="V128" i="1" s="1"/>
  <c r="AF128" i="1" s="1"/>
  <c r="U147" i="1"/>
  <c r="V147" i="1" s="1"/>
  <c r="AF147" i="1" s="1"/>
  <c r="U109" i="1"/>
  <c r="V109" i="1" s="1"/>
  <c r="AF109" i="1" s="1"/>
  <c r="U169" i="1"/>
  <c r="V169" i="1" s="1"/>
  <c r="AF169" i="1" s="1"/>
  <c r="U6" i="1"/>
  <c r="V6" i="1" s="1"/>
  <c r="AF6" i="1" s="1"/>
  <c r="U5" i="1"/>
  <c r="V5" i="1" s="1"/>
  <c r="AF5" i="1" s="1"/>
  <c r="AD116" i="1" l="1"/>
  <c r="AD113" i="1"/>
  <c r="AC116" i="1"/>
  <c r="X113" i="1"/>
  <c r="W116" i="1"/>
  <c r="AC113" i="1"/>
  <c r="AB116" i="1"/>
  <c r="AA116" i="1"/>
  <c r="Z116" i="1"/>
  <c r="AB113" i="1"/>
  <c r="AA113" i="1"/>
  <c r="Z113" i="1"/>
  <c r="Y116" i="1"/>
  <c r="X116" i="1"/>
  <c r="W113" i="1"/>
  <c r="Y113" i="1"/>
  <c r="AA122" i="1"/>
  <c r="W122" i="1"/>
  <c r="AD122" i="1"/>
  <c r="Z122" i="1"/>
  <c r="AC122" i="1"/>
  <c r="Y122" i="1"/>
  <c r="AB122" i="1"/>
  <c r="X122" i="1"/>
  <c r="AD81" i="1"/>
  <c r="Z81" i="1"/>
  <c r="AB89" i="1"/>
  <c r="X89" i="1"/>
  <c r="AC81" i="1"/>
  <c r="Y81" i="1"/>
  <c r="AA89" i="1"/>
  <c r="W89" i="1"/>
  <c r="AB81" i="1"/>
  <c r="X81" i="1"/>
  <c r="AD89" i="1"/>
  <c r="Z89" i="1"/>
  <c r="AA81" i="1"/>
  <c r="W81" i="1"/>
  <c r="AC89" i="1"/>
  <c r="Y89" i="1"/>
  <c r="AA96" i="1"/>
  <c r="Z96" i="1"/>
  <c r="AC96" i="1"/>
  <c r="Y96" i="1"/>
  <c r="AB96" i="1"/>
  <c r="X96" i="1"/>
  <c r="W96" i="1"/>
  <c r="AD96" i="1"/>
  <c r="AA48" i="1"/>
  <c r="W48" i="1"/>
  <c r="AD48" i="1"/>
  <c r="Z48" i="1"/>
  <c r="AC48" i="1"/>
  <c r="Y48" i="1"/>
  <c r="AB48" i="1"/>
  <c r="X48" i="1"/>
  <c r="AC64" i="1"/>
  <c r="Y64" i="1"/>
  <c r="AB64" i="1"/>
  <c r="X64" i="1"/>
  <c r="AA64" i="1"/>
  <c r="W64" i="1"/>
  <c r="AD64" i="1"/>
  <c r="Z64" i="1"/>
  <c r="AA7" i="1"/>
  <c r="AD7" i="1"/>
  <c r="Z7" i="1"/>
  <c r="AC7" i="1"/>
  <c r="Y7" i="1"/>
  <c r="AB7" i="1"/>
  <c r="X7" i="1"/>
  <c r="W7" i="1"/>
  <c r="AC26" i="1"/>
  <c r="AA26" i="1"/>
  <c r="Y26" i="1"/>
  <c r="W26" i="1"/>
  <c r="AC246" i="1"/>
  <c r="AA246" i="1"/>
  <c r="Y246" i="1"/>
  <c r="W246" i="1"/>
  <c r="AC280" i="1"/>
  <c r="AA280" i="1"/>
  <c r="Y280" i="1"/>
  <c r="W280" i="1"/>
  <c r="AD280" i="1"/>
  <c r="AB280" i="1"/>
  <c r="Z280" i="1"/>
  <c r="X280" i="1"/>
  <c r="AD26" i="1"/>
  <c r="AB26" i="1"/>
  <c r="Z26" i="1"/>
  <c r="X26" i="1"/>
  <c r="AD246" i="1"/>
  <c r="AB246" i="1"/>
  <c r="Z246" i="1"/>
  <c r="X246" i="1"/>
  <c r="Y198" i="1"/>
  <c r="AC198" i="1"/>
  <c r="Z198" i="1"/>
  <c r="W198" i="1"/>
  <c r="AA198" i="1"/>
  <c r="X198" i="1"/>
  <c r="AB198" i="1"/>
  <c r="AD198" i="1"/>
  <c r="AD74" i="1"/>
  <c r="Z74" i="1"/>
  <c r="AB74" i="1"/>
  <c r="X74" i="1"/>
  <c r="AA74" i="1"/>
  <c r="W74" i="1"/>
  <c r="AC74" i="1"/>
  <c r="Y74" i="1"/>
  <c r="AB99" i="1"/>
  <c r="X99" i="1"/>
  <c r="AD86" i="1"/>
  <c r="Z86" i="1"/>
  <c r="AB32" i="1"/>
  <c r="X32" i="1"/>
  <c r="AB98" i="1"/>
  <c r="X98" i="1"/>
  <c r="AB47" i="1"/>
  <c r="X47" i="1"/>
  <c r="AC105" i="1"/>
  <c r="Y105" i="1"/>
  <c r="AA77" i="1"/>
  <c r="W77" i="1"/>
  <c r="AC50" i="1"/>
  <c r="Y50" i="1"/>
  <c r="AA25" i="1"/>
  <c r="W25" i="1"/>
  <c r="Z99" i="1"/>
  <c r="Z47" i="1"/>
  <c r="AA105" i="1"/>
  <c r="Y77" i="1"/>
  <c r="W50" i="1"/>
  <c r="Y25" i="1"/>
  <c r="AA99" i="1"/>
  <c r="W99" i="1"/>
  <c r="AC86" i="1"/>
  <c r="Y86" i="1"/>
  <c r="AA32" i="1"/>
  <c r="W32" i="1"/>
  <c r="AA98" i="1"/>
  <c r="W98" i="1"/>
  <c r="AA47" i="1"/>
  <c r="W47" i="1"/>
  <c r="AB105" i="1"/>
  <c r="X105" i="1"/>
  <c r="AD77" i="1"/>
  <c r="Z77" i="1"/>
  <c r="AB50" i="1"/>
  <c r="X50" i="1"/>
  <c r="AD25" i="1"/>
  <c r="Z25" i="1"/>
  <c r="AD99" i="1"/>
  <c r="AB86" i="1"/>
  <c r="X86" i="1"/>
  <c r="Z32" i="1"/>
  <c r="AD98" i="1"/>
  <c r="Z98" i="1"/>
  <c r="AD47" i="1"/>
  <c r="AC77" i="1"/>
  <c r="AA50" i="1"/>
  <c r="AC99" i="1"/>
  <c r="Y99" i="1"/>
  <c r="AA86" i="1"/>
  <c r="W86" i="1"/>
  <c r="AC32" i="1"/>
  <c r="Y32" i="1"/>
  <c r="AC98" i="1"/>
  <c r="Y98" i="1"/>
  <c r="AC47" i="1"/>
  <c r="Y47" i="1"/>
  <c r="AD105" i="1"/>
  <c r="Z105" i="1"/>
  <c r="AB77" i="1"/>
  <c r="X77" i="1"/>
  <c r="AD50" i="1"/>
  <c r="Z50" i="1"/>
  <c r="AB25" i="1"/>
  <c r="X25" i="1"/>
  <c r="AD32" i="1"/>
  <c r="W105" i="1"/>
  <c r="AC25" i="1"/>
  <c r="AC92" i="1"/>
  <c r="AA92" i="1"/>
  <c r="Y92" i="1"/>
  <c r="W92" i="1"/>
  <c r="AC60" i="1"/>
  <c r="AA60" i="1"/>
  <c r="Y60" i="1"/>
  <c r="W60" i="1"/>
  <c r="AC34" i="1"/>
  <c r="AA34" i="1"/>
  <c r="Y34" i="1"/>
  <c r="W34" i="1"/>
  <c r="AD12" i="1"/>
  <c r="AB12" i="1"/>
  <c r="Z12" i="1"/>
  <c r="X12" i="1"/>
  <c r="AD92" i="1"/>
  <c r="AB92" i="1"/>
  <c r="Z92" i="1"/>
  <c r="X92" i="1"/>
  <c r="AD60" i="1"/>
  <c r="AB60" i="1"/>
  <c r="Z60" i="1"/>
  <c r="X60" i="1"/>
  <c r="AD34" i="1"/>
  <c r="AB34" i="1"/>
  <c r="Z34" i="1"/>
  <c r="X34" i="1"/>
  <c r="AC12" i="1"/>
  <c r="AA12" i="1"/>
  <c r="Y12" i="1"/>
  <c r="W12" i="1"/>
  <c r="AD83" i="1"/>
  <c r="AB83" i="1"/>
  <c r="Z83" i="1"/>
  <c r="X83" i="1"/>
  <c r="AC65" i="1"/>
  <c r="AA65" i="1"/>
  <c r="Y65" i="1"/>
  <c r="W65" i="1"/>
  <c r="AC31" i="1"/>
  <c r="AA31" i="1"/>
  <c r="Y31" i="1"/>
  <c r="W31" i="1"/>
  <c r="AC15" i="1"/>
  <c r="AA15" i="1"/>
  <c r="Y15" i="1"/>
  <c r="W15" i="1"/>
  <c r="AC61" i="1"/>
  <c r="AA61" i="1"/>
  <c r="Y61" i="1"/>
  <c r="W61" i="1"/>
  <c r="AC36" i="1"/>
  <c r="AA36" i="1"/>
  <c r="Y36" i="1"/>
  <c r="W36" i="1"/>
  <c r="AC16" i="1"/>
  <c r="AA16" i="1"/>
  <c r="Y16" i="1"/>
  <c r="W16" i="1"/>
  <c r="AC11" i="1"/>
  <c r="AA11" i="1"/>
  <c r="Y11" i="1"/>
  <c r="W11" i="1"/>
  <c r="AD31" i="1"/>
  <c r="AB31" i="1"/>
  <c r="Z31" i="1"/>
  <c r="X31" i="1"/>
  <c r="AD61" i="1"/>
  <c r="AB61" i="1"/>
  <c r="X61" i="1"/>
  <c r="AD36" i="1"/>
  <c r="AB36" i="1"/>
  <c r="Z36" i="1"/>
  <c r="X36" i="1"/>
  <c r="X16" i="1"/>
  <c r="AD11" i="1"/>
  <c r="AB11" i="1"/>
  <c r="Z11" i="1"/>
  <c r="X11" i="1"/>
  <c r="AC83" i="1"/>
  <c r="AA83" i="1"/>
  <c r="Y83" i="1"/>
  <c r="W83" i="1"/>
  <c r="AD65" i="1"/>
  <c r="AB65" i="1"/>
  <c r="Z65" i="1"/>
  <c r="X65" i="1"/>
  <c r="AD15" i="1"/>
  <c r="AB15" i="1"/>
  <c r="Z15" i="1"/>
  <c r="X15" i="1"/>
  <c r="Z61" i="1"/>
  <c r="AD16" i="1"/>
  <c r="AB16" i="1"/>
  <c r="Z16" i="1"/>
  <c r="AD71" i="1"/>
  <c r="AB71" i="1"/>
  <c r="Z71" i="1"/>
  <c r="X71" i="1"/>
  <c r="AC71" i="1"/>
  <c r="AA71" i="1"/>
  <c r="Y71" i="1"/>
  <c r="W71" i="1"/>
  <c r="AD10" i="1"/>
  <c r="AB10" i="1"/>
  <c r="Z10" i="1"/>
  <c r="X10" i="1"/>
  <c r="AC10" i="1"/>
  <c r="AA10" i="1"/>
  <c r="Y10" i="1"/>
  <c r="W10" i="1"/>
  <c r="Z103" i="1"/>
  <c r="AB28" i="1"/>
  <c r="W28" i="1"/>
  <c r="AD28" i="1"/>
  <c r="Z28" i="1"/>
  <c r="AC28" i="1"/>
  <c r="Y28" i="1"/>
  <c r="X28" i="1"/>
  <c r="AA28" i="1"/>
  <c r="AD97" i="1"/>
  <c r="AB97" i="1"/>
  <c r="Z97" i="1"/>
  <c r="X97" i="1"/>
  <c r="AA97" i="1"/>
  <c r="W97" i="1"/>
  <c r="AC97" i="1"/>
  <c r="Y97" i="1"/>
  <c r="AD219" i="1"/>
  <c r="AB219" i="1"/>
  <c r="Z219" i="1"/>
  <c r="X219" i="1"/>
  <c r="AC219" i="1"/>
  <c r="AA219" i="1"/>
  <c r="Y219" i="1"/>
  <c r="W219" i="1"/>
  <c r="Z161" i="1"/>
  <c r="AD161" i="1"/>
  <c r="W161" i="1"/>
  <c r="AA161" i="1"/>
  <c r="X161" i="1"/>
  <c r="AB161" i="1"/>
  <c r="Y161" i="1"/>
  <c r="AC161" i="1"/>
  <c r="AB87" i="1"/>
  <c r="X87" i="1"/>
  <c r="AA87" i="1"/>
  <c r="W87" i="1"/>
  <c r="AD87" i="1"/>
  <c r="Z87" i="1"/>
  <c r="AC87" i="1"/>
  <c r="Y87" i="1"/>
  <c r="AD114" i="1"/>
  <c r="AB114" i="1"/>
  <c r="Z114" i="1"/>
  <c r="X114" i="1"/>
  <c r="AC114" i="1"/>
  <c r="AA114" i="1"/>
  <c r="Y114" i="1"/>
  <c r="W114" i="1"/>
  <c r="AD231" i="1"/>
  <c r="AB231" i="1"/>
  <c r="Z231" i="1"/>
  <c r="X231" i="1"/>
  <c r="AC231" i="1"/>
  <c r="AA231" i="1"/>
  <c r="Y231" i="1"/>
  <c r="W231" i="1"/>
  <c r="AC131" i="1"/>
  <c r="AA131" i="1"/>
  <c r="Y131" i="1"/>
  <c r="W131" i="1"/>
  <c r="AC155" i="1"/>
  <c r="AA155" i="1"/>
  <c r="Y155" i="1"/>
  <c r="W155" i="1"/>
  <c r="AD155" i="1"/>
  <c r="AB155" i="1"/>
  <c r="Z155" i="1"/>
  <c r="X155" i="1"/>
  <c r="AD131" i="1"/>
  <c r="AB131" i="1"/>
  <c r="Z131" i="1"/>
  <c r="X131" i="1"/>
  <c r="AB94" i="1"/>
  <c r="X94" i="1"/>
  <c r="AD30" i="1"/>
  <c r="Z30" i="1"/>
  <c r="AB70" i="1"/>
  <c r="X70" i="1"/>
  <c r="AD42" i="1"/>
  <c r="Z42" i="1"/>
  <c r="AD85" i="1"/>
  <c r="Z85" i="1"/>
  <c r="AB67" i="1"/>
  <c r="X67" i="1"/>
  <c r="W30" i="1"/>
  <c r="W42" i="1"/>
  <c r="AA85" i="1"/>
  <c r="AC67" i="1"/>
  <c r="AA94" i="1"/>
  <c r="W94" i="1"/>
  <c r="AC30" i="1"/>
  <c r="Y30" i="1"/>
  <c r="AA70" i="1"/>
  <c r="W70" i="1"/>
  <c r="AC42" i="1"/>
  <c r="Y42" i="1"/>
  <c r="AC85" i="1"/>
  <c r="Y85" i="1"/>
  <c r="AA67" i="1"/>
  <c r="W67" i="1"/>
  <c r="AD94" i="1"/>
  <c r="Z94" i="1"/>
  <c r="AB30" i="1"/>
  <c r="X30" i="1"/>
  <c r="AD70" i="1"/>
  <c r="Z70" i="1"/>
  <c r="AB42" i="1"/>
  <c r="X42" i="1"/>
  <c r="AB85" i="1"/>
  <c r="X85" i="1"/>
  <c r="AD67" i="1"/>
  <c r="Z67" i="1"/>
  <c r="AC94" i="1"/>
  <c r="Y94" i="1"/>
  <c r="AA30" i="1"/>
  <c r="AC70" i="1"/>
  <c r="Y70" i="1"/>
  <c r="AA42" i="1"/>
  <c r="W85" i="1"/>
  <c r="Y67" i="1"/>
  <c r="AA172" i="1"/>
  <c r="W172" i="1"/>
  <c r="Y172" i="1"/>
  <c r="X172" i="1"/>
  <c r="AD172" i="1"/>
  <c r="Z172" i="1"/>
  <c r="AC172" i="1"/>
  <c r="AB172" i="1"/>
  <c r="AC224" i="1"/>
  <c r="Y224" i="1"/>
  <c r="AA224" i="1"/>
  <c r="W224" i="1"/>
  <c r="AB224" i="1"/>
  <c r="Z224" i="1"/>
  <c r="X224" i="1"/>
  <c r="AD224" i="1"/>
  <c r="AC138" i="1"/>
  <c r="Y138" i="1"/>
  <c r="AA41" i="1"/>
  <c r="W41" i="1"/>
  <c r="AC188" i="1"/>
  <c r="Y188" i="1"/>
  <c r="AA103" i="1"/>
  <c r="W103" i="1"/>
  <c r="AA49" i="1"/>
  <c r="W49" i="1"/>
  <c r="AA200" i="1"/>
  <c r="W200" i="1"/>
  <c r="AC180" i="1"/>
  <c r="Y180" i="1"/>
  <c r="AB138" i="1"/>
  <c r="X138" i="1"/>
  <c r="AD41" i="1"/>
  <c r="Z41" i="1"/>
  <c r="AB188" i="1"/>
  <c r="X188" i="1"/>
  <c r="AD103" i="1"/>
  <c r="AD49" i="1"/>
  <c r="Z49" i="1"/>
  <c r="AD200" i="1"/>
  <c r="Z200" i="1"/>
  <c r="AB180" i="1"/>
  <c r="X180" i="1"/>
  <c r="AA138" i="1"/>
  <c r="W138" i="1"/>
  <c r="AC41" i="1"/>
  <c r="Y41" i="1"/>
  <c r="AA188" i="1"/>
  <c r="W188" i="1"/>
  <c r="AC103" i="1"/>
  <c r="Y103" i="1"/>
  <c r="AC49" i="1"/>
  <c r="Y49" i="1"/>
  <c r="AC200" i="1"/>
  <c r="Y200" i="1"/>
  <c r="AA180" i="1"/>
  <c r="W180" i="1"/>
  <c r="AD138" i="1"/>
  <c r="Z138" i="1"/>
  <c r="AB41" i="1"/>
  <c r="X41" i="1"/>
  <c r="AD188" i="1"/>
  <c r="Z188" i="1"/>
  <c r="AB103" i="1"/>
  <c r="X103" i="1"/>
  <c r="AB49" i="1"/>
  <c r="X49" i="1"/>
  <c r="AB200" i="1"/>
  <c r="X200" i="1"/>
  <c r="AD180" i="1"/>
  <c r="Z180" i="1"/>
  <c r="AB270" i="1"/>
  <c r="X270" i="1"/>
  <c r="Y270" i="1"/>
  <c r="AA270" i="1"/>
  <c r="W270" i="1"/>
  <c r="AD270" i="1"/>
  <c r="Z270" i="1"/>
  <c r="AC270" i="1"/>
  <c r="AA111" i="1"/>
  <c r="W111" i="1"/>
  <c r="AC143" i="1"/>
  <c r="Y143" i="1"/>
  <c r="AA76" i="1"/>
  <c r="W76" i="1"/>
  <c r="AA151" i="1"/>
  <c r="W151" i="1"/>
  <c r="AC214" i="1"/>
  <c r="Y214" i="1"/>
  <c r="AA93" i="1"/>
  <c r="W93" i="1"/>
  <c r="AA195" i="1"/>
  <c r="W195" i="1"/>
  <c r="AC121" i="1"/>
  <c r="Y121" i="1"/>
  <c r="AA124" i="1"/>
  <c r="W124" i="1"/>
  <c r="AD111" i="1"/>
  <c r="Z111" i="1"/>
  <c r="AB143" i="1"/>
  <c r="X143" i="1"/>
  <c r="AD76" i="1"/>
  <c r="Z76" i="1"/>
  <c r="AD151" i="1"/>
  <c r="Z151" i="1"/>
  <c r="AB214" i="1"/>
  <c r="X214" i="1"/>
  <c r="AD93" i="1"/>
  <c r="Z93" i="1"/>
  <c r="AD195" i="1"/>
  <c r="Z195" i="1"/>
  <c r="AB121" i="1"/>
  <c r="X121" i="1"/>
  <c r="AD124" i="1"/>
  <c r="Z124" i="1"/>
  <c r="AC111" i="1"/>
  <c r="Y111" i="1"/>
  <c r="AA143" i="1"/>
  <c r="W143" i="1"/>
  <c r="AC76" i="1"/>
  <c r="Y76" i="1"/>
  <c r="AC151" i="1"/>
  <c r="Y151" i="1"/>
  <c r="AA214" i="1"/>
  <c r="W214" i="1"/>
  <c r="AC93" i="1"/>
  <c r="Y93" i="1"/>
  <c r="AC195" i="1"/>
  <c r="Y195" i="1"/>
  <c r="AA121" i="1"/>
  <c r="W121" i="1"/>
  <c r="AC124" i="1"/>
  <c r="Y124" i="1"/>
  <c r="AB111" i="1"/>
  <c r="X111" i="1"/>
  <c r="AD143" i="1"/>
  <c r="Z143" i="1"/>
  <c r="AB76" i="1"/>
  <c r="X76" i="1"/>
  <c r="AB151" i="1"/>
  <c r="X151" i="1"/>
  <c r="AD214" i="1"/>
  <c r="Z214" i="1"/>
  <c r="AB93" i="1"/>
  <c r="X93" i="1"/>
  <c r="AB195" i="1"/>
  <c r="X195" i="1"/>
  <c r="AD121" i="1"/>
  <c r="Z121" i="1"/>
  <c r="AB124" i="1"/>
  <c r="X124" i="1"/>
  <c r="AG6" i="1"/>
  <c r="AG109" i="1"/>
  <c r="AC117" i="1"/>
  <c r="Y117" i="1"/>
  <c r="AB117" i="1"/>
  <c r="X117" i="1"/>
  <c r="W117" i="1"/>
  <c r="AD117" i="1"/>
  <c r="Z117" i="1"/>
  <c r="AA117" i="1"/>
  <c r="AB123" i="1"/>
  <c r="X123" i="1"/>
  <c r="AA123" i="1"/>
  <c r="W123" i="1"/>
  <c r="AD123" i="1"/>
  <c r="Z123" i="1"/>
  <c r="AC123" i="1"/>
  <c r="Y123" i="1"/>
  <c r="AD62" i="1"/>
  <c r="Z62" i="1"/>
  <c r="AC62" i="1"/>
  <c r="Y62" i="1"/>
  <c r="AB62" i="1"/>
  <c r="X62" i="1"/>
  <c r="AA62" i="1"/>
  <c r="W62" i="1"/>
  <c r="AG22" i="1"/>
  <c r="AG126" i="1"/>
  <c r="AG35" i="1"/>
  <c r="AG53" i="1"/>
  <c r="AG69" i="1"/>
  <c r="AG167" i="1"/>
  <c r="AG37" i="1"/>
  <c r="AG120" i="1"/>
  <c r="AG108" i="1"/>
  <c r="AG59" i="1"/>
  <c r="AG43" i="1"/>
  <c r="AG264" i="1"/>
  <c r="AG196" i="1"/>
  <c r="AG253" i="1"/>
  <c r="AG168" i="1"/>
  <c r="AG186" i="1"/>
  <c r="AG173" i="1"/>
  <c r="AG220" i="1"/>
  <c r="AG130" i="1"/>
  <c r="AG181" i="1"/>
  <c r="AG84" i="1"/>
  <c r="AG215" i="1"/>
  <c r="AG132" i="1"/>
  <c r="AG153" i="1"/>
  <c r="AG162" i="1"/>
  <c r="AG107" i="1"/>
  <c r="AG175" i="1"/>
  <c r="AG206" i="1"/>
  <c r="AG139" i="1"/>
  <c r="AG257" i="1"/>
  <c r="AG191" i="1"/>
  <c r="AG165" i="1"/>
  <c r="AG177" i="1"/>
  <c r="AG207" i="1"/>
  <c r="AG210" i="1"/>
  <c r="AG243" i="1"/>
  <c r="AG106" i="1"/>
  <c r="AG154" i="1"/>
  <c r="AG209" i="1"/>
  <c r="AG146" i="1"/>
  <c r="AG104" i="1"/>
  <c r="AG217" i="1"/>
  <c r="AG164" i="1"/>
  <c r="AG125" i="1"/>
  <c r="AG265" i="1"/>
  <c r="AG227" i="1"/>
  <c r="AG228" i="1"/>
  <c r="AG229" i="1"/>
  <c r="AG271" i="1"/>
  <c r="AG263" i="1"/>
  <c r="AG282" i="1"/>
  <c r="AG284" i="1"/>
  <c r="AG13" i="1"/>
  <c r="AG14" i="1"/>
  <c r="AG127" i="1"/>
  <c r="AG102" i="1"/>
  <c r="AG129" i="1"/>
  <c r="AG157" i="1"/>
  <c r="AG45" i="1"/>
  <c r="AG216" i="1"/>
  <c r="AG148" i="1"/>
  <c r="AG52" i="1"/>
  <c r="AG156" i="1"/>
  <c r="AG268" i="1"/>
  <c r="AG56" i="1"/>
  <c r="AG18" i="1"/>
  <c r="AG182" i="1"/>
  <c r="AG242" i="1"/>
  <c r="AG170" i="1"/>
  <c r="AG27" i="1"/>
  <c r="AG152" i="1"/>
  <c r="AG95" i="1"/>
  <c r="AG233" i="1"/>
  <c r="AG115" i="1"/>
  <c r="AG240" i="1"/>
  <c r="AG223" i="1"/>
  <c r="AG90" i="1"/>
  <c r="AG160" i="1"/>
  <c r="AG159" i="1"/>
  <c r="AG199" i="1"/>
  <c r="AG110" i="1"/>
  <c r="AG189" i="1"/>
  <c r="AG80" i="1"/>
  <c r="AG222" i="1"/>
  <c r="AG248" i="1"/>
  <c r="AG54" i="1"/>
  <c r="AG237" i="1"/>
  <c r="AG251" i="1"/>
  <c r="AG140" i="1"/>
  <c r="AG254" i="1"/>
  <c r="AG118" i="1"/>
  <c r="AG274" i="1"/>
  <c r="AG272" i="1"/>
  <c r="AG276" i="1"/>
  <c r="AG192" i="1"/>
  <c r="AG230" i="1"/>
  <c r="AG256" i="1"/>
  <c r="AG169" i="1"/>
  <c r="AG5" i="1"/>
  <c r="AG147" i="1"/>
  <c r="AG128" i="1"/>
  <c r="AG63" i="1"/>
  <c r="AG8" i="1"/>
  <c r="AG19" i="1"/>
  <c r="AG9" i="1"/>
  <c r="AG20" i="1"/>
  <c r="AG73" i="1"/>
  <c r="AG40" i="1"/>
  <c r="AG44" i="1"/>
  <c r="AG136" i="1"/>
  <c r="AG78" i="1"/>
  <c r="AG187" i="1"/>
  <c r="AG142" i="1"/>
  <c r="AG112" i="1"/>
  <c r="AG202" i="1"/>
  <c r="AG185" i="1"/>
  <c r="AG183" i="1"/>
  <c r="AG91" i="1"/>
  <c r="AG208" i="1"/>
  <c r="AG141" i="1"/>
  <c r="AG239" i="1"/>
  <c r="AG149" i="1"/>
  <c r="AG29" i="1"/>
  <c r="AG134" i="1"/>
  <c r="AG144" i="1"/>
  <c r="AG218" i="1"/>
  <c r="AG221" i="1"/>
  <c r="AG213" i="1"/>
  <c r="AG176" i="1"/>
  <c r="AG245" i="1"/>
  <c r="AG178" i="1"/>
  <c r="AG100" i="1"/>
  <c r="AG171" i="1"/>
  <c r="AG193" i="1"/>
  <c r="AG68" i="1"/>
  <c r="AG211" i="1"/>
  <c r="AG275" i="1"/>
  <c r="AG258" i="1"/>
  <c r="AG101" i="1"/>
  <c r="AG179" i="1"/>
  <c r="AG249" i="1"/>
  <c r="AG194" i="1"/>
  <c r="AG262" i="1"/>
  <c r="AG260" i="1"/>
  <c r="AG135" i="1"/>
  <c r="AG88" i="1"/>
  <c r="AG119" i="1"/>
  <c r="AG21" i="1"/>
  <c r="AG279" i="1"/>
  <c r="AG261" i="1"/>
  <c r="AG226" i="1"/>
  <c r="AG273" i="1"/>
  <c r="AG269" i="1"/>
  <c r="AG150" i="1"/>
  <c r="AG267" i="1"/>
  <c r="AG17" i="1"/>
  <c r="AG46" i="1"/>
  <c r="AG24" i="1"/>
  <c r="AG38" i="1"/>
  <c r="AG23" i="1"/>
  <c r="AG72" i="1"/>
  <c r="AG39" i="1"/>
  <c r="AG33" i="1"/>
  <c r="AG145" i="1"/>
  <c r="AG57" i="1"/>
  <c r="AG66" i="1"/>
  <c r="AG158" i="1"/>
  <c r="AG137" i="1"/>
  <c r="AG238" i="1"/>
  <c r="AG184" i="1"/>
  <c r="AG82" i="1"/>
  <c r="AG51" i="1"/>
  <c r="AG133" i="1"/>
  <c r="AG197" i="1"/>
  <c r="AG232" i="1"/>
  <c r="AG204" i="1"/>
  <c r="AG241" i="1"/>
  <c r="AG174" i="1"/>
  <c r="AG166" i="1"/>
  <c r="AG163" i="1"/>
  <c r="AG203" i="1"/>
  <c r="AG205" i="1"/>
  <c r="AG190" i="1"/>
  <c r="AG212" i="1"/>
  <c r="AG58" i="1"/>
  <c r="AG79" i="1"/>
  <c r="AG201" i="1"/>
  <c r="AG235" i="1"/>
  <c r="AG247" i="1"/>
  <c r="AG234" i="1"/>
  <c r="AG277" i="1"/>
  <c r="AG225" i="1"/>
  <c r="AG283" i="1"/>
  <c r="AG281" i="1"/>
  <c r="AG255" i="1"/>
  <c r="AG250" i="1"/>
  <c r="AG252" i="1"/>
  <c r="AG244" i="1"/>
  <c r="AG236" i="1"/>
  <c r="AG259" i="1"/>
  <c r="AG75" i="1"/>
  <c r="AG278" i="1"/>
  <c r="AG266" i="1"/>
  <c r="AU3" i="1"/>
  <c r="AC267" i="1"/>
  <c r="AA267" i="1"/>
  <c r="Y267" i="1"/>
  <c r="W267" i="1"/>
  <c r="AD284" i="1"/>
  <c r="AB284" i="1"/>
  <c r="Z284" i="1"/>
  <c r="X284" i="1"/>
  <c r="AC150" i="1"/>
  <c r="AA150" i="1"/>
  <c r="Y150" i="1"/>
  <c r="W150" i="1"/>
  <c r="AD266" i="1"/>
  <c r="AB266" i="1"/>
  <c r="Z266" i="1"/>
  <c r="X266" i="1"/>
  <c r="AC256" i="1"/>
  <c r="AA256" i="1"/>
  <c r="Y256" i="1"/>
  <c r="W256" i="1"/>
  <c r="AC269" i="1"/>
  <c r="AA269" i="1"/>
  <c r="Y269" i="1"/>
  <c r="W269" i="1"/>
  <c r="AC230" i="1"/>
  <c r="AA230" i="1"/>
  <c r="Y230" i="1"/>
  <c r="W230" i="1"/>
  <c r="AD282" i="1"/>
  <c r="AB282" i="1"/>
  <c r="Z282" i="1"/>
  <c r="X282" i="1"/>
  <c r="AC273" i="1"/>
  <c r="AA273" i="1"/>
  <c r="Y273" i="1"/>
  <c r="W273" i="1"/>
  <c r="AD278" i="1"/>
  <c r="AB278" i="1"/>
  <c r="Z278" i="1"/>
  <c r="X278" i="1"/>
  <c r="AC226" i="1"/>
  <c r="AA226" i="1"/>
  <c r="Y226" i="1"/>
  <c r="W226" i="1"/>
  <c r="AD75" i="1"/>
  <c r="AD267" i="1"/>
  <c r="AB267" i="1"/>
  <c r="Z267" i="1"/>
  <c r="X267" i="1"/>
  <c r="AC284" i="1"/>
  <c r="AA284" i="1"/>
  <c r="Y284" i="1"/>
  <c r="W284" i="1"/>
  <c r="AD150" i="1"/>
  <c r="AB150" i="1"/>
  <c r="Z150" i="1"/>
  <c r="X150" i="1"/>
  <c r="AC266" i="1"/>
  <c r="AA266" i="1"/>
  <c r="Y266" i="1"/>
  <c r="W266" i="1"/>
  <c r="AD256" i="1"/>
  <c r="AB256" i="1"/>
  <c r="Z256" i="1"/>
  <c r="X256" i="1"/>
  <c r="AD269" i="1"/>
  <c r="AB269" i="1"/>
  <c r="Z269" i="1"/>
  <c r="X269" i="1"/>
  <c r="AD230" i="1"/>
  <c r="AB230" i="1"/>
  <c r="Z230" i="1"/>
  <c r="X230" i="1"/>
  <c r="AC282" i="1"/>
  <c r="AA282" i="1"/>
  <c r="Y282" i="1"/>
  <c r="W282" i="1"/>
  <c r="AD273" i="1"/>
  <c r="AB273" i="1"/>
  <c r="Z273" i="1"/>
  <c r="X273" i="1"/>
  <c r="AC278" i="1"/>
  <c r="AA278" i="1"/>
  <c r="Y278" i="1"/>
  <c r="W278" i="1"/>
  <c r="AD226" i="1"/>
  <c r="AB226" i="1"/>
  <c r="Z226" i="1"/>
  <c r="X226" i="1"/>
  <c r="AC75" i="1"/>
  <c r="AA75" i="1"/>
  <c r="Y75" i="1"/>
  <c r="W75" i="1"/>
  <c r="AC259" i="1"/>
  <c r="AA259" i="1"/>
  <c r="Y259" i="1"/>
  <c r="W259" i="1"/>
  <c r="AC263" i="1"/>
  <c r="AA263" i="1"/>
  <c r="Y263" i="1"/>
  <c r="W263" i="1"/>
  <c r="AD261" i="1"/>
  <c r="AB261" i="1"/>
  <c r="Z261" i="1"/>
  <c r="X261" i="1"/>
  <c r="AD192" i="1"/>
  <c r="AB192" i="1"/>
  <c r="Z192" i="1"/>
  <c r="X192" i="1"/>
  <c r="AC236" i="1"/>
  <c r="AA236" i="1"/>
  <c r="Y236" i="1"/>
  <c r="W236" i="1"/>
  <c r="AD276" i="1"/>
  <c r="AB276" i="1"/>
  <c r="Z276" i="1"/>
  <c r="X276" i="1"/>
  <c r="AC271" i="1"/>
  <c r="AA271" i="1"/>
  <c r="Y271" i="1"/>
  <c r="W271" i="1"/>
  <c r="AD279" i="1"/>
  <c r="AB279" i="1"/>
  <c r="Z279" i="1"/>
  <c r="X279" i="1"/>
  <c r="AC244" i="1"/>
  <c r="AA244" i="1"/>
  <c r="Y244" i="1"/>
  <c r="W244" i="1"/>
  <c r="AD272" i="1"/>
  <c r="AB272" i="1"/>
  <c r="Z272" i="1"/>
  <c r="X272" i="1"/>
  <c r="AC229" i="1"/>
  <c r="AA229" i="1"/>
  <c r="Y229" i="1"/>
  <c r="W229" i="1"/>
  <c r="AD21" i="1"/>
  <c r="AB21" i="1"/>
  <c r="Z21" i="1"/>
  <c r="X21" i="1"/>
  <c r="AC252" i="1"/>
  <c r="AA252" i="1"/>
  <c r="Y252" i="1"/>
  <c r="W252" i="1"/>
  <c r="AD274" i="1"/>
  <c r="AB274" i="1"/>
  <c r="Z274" i="1"/>
  <c r="X274" i="1"/>
  <c r="AB75" i="1"/>
  <c r="Z75" i="1"/>
  <c r="X75" i="1"/>
  <c r="AD259" i="1"/>
  <c r="AB259" i="1"/>
  <c r="Z259" i="1"/>
  <c r="X259" i="1"/>
  <c r="AD263" i="1"/>
  <c r="AB263" i="1"/>
  <c r="Z263" i="1"/>
  <c r="X263" i="1"/>
  <c r="AC261" i="1"/>
  <c r="AA261" i="1"/>
  <c r="Y261" i="1"/>
  <c r="W261" i="1"/>
  <c r="AC192" i="1"/>
  <c r="AA192" i="1"/>
  <c r="Y192" i="1"/>
  <c r="W192" i="1"/>
  <c r="AD236" i="1"/>
  <c r="AB236" i="1"/>
  <c r="Z236" i="1"/>
  <c r="X236" i="1"/>
  <c r="AC276" i="1"/>
  <c r="AA276" i="1"/>
  <c r="Y276" i="1"/>
  <c r="W276" i="1"/>
  <c r="AD271" i="1"/>
  <c r="AB271" i="1"/>
  <c r="Z271" i="1"/>
  <c r="X271" i="1"/>
  <c r="AC279" i="1"/>
  <c r="AA279" i="1"/>
  <c r="Y279" i="1"/>
  <c r="W279" i="1"/>
  <c r="AD244" i="1"/>
  <c r="AB244" i="1"/>
  <c r="Z244" i="1"/>
  <c r="X244" i="1"/>
  <c r="AC272" i="1"/>
  <c r="AA272" i="1"/>
  <c r="Y272" i="1"/>
  <c r="W272" i="1"/>
  <c r="AD229" i="1"/>
  <c r="AB229" i="1"/>
  <c r="Z229" i="1"/>
  <c r="X229" i="1"/>
  <c r="AC21" i="1"/>
  <c r="AA21" i="1"/>
  <c r="W21" i="1"/>
  <c r="AD252" i="1"/>
  <c r="Z252" i="1"/>
  <c r="AA274" i="1"/>
  <c r="W274" i="1"/>
  <c r="AC250" i="1"/>
  <c r="AA250" i="1"/>
  <c r="Y250" i="1"/>
  <c r="W250" i="1"/>
  <c r="AD118" i="1"/>
  <c r="AB118" i="1"/>
  <c r="Z118" i="1"/>
  <c r="X118" i="1"/>
  <c r="AC228" i="1"/>
  <c r="AA228" i="1"/>
  <c r="Y228" i="1"/>
  <c r="W228" i="1"/>
  <c r="AD119" i="1"/>
  <c r="AB119" i="1"/>
  <c r="Z119" i="1"/>
  <c r="X119" i="1"/>
  <c r="AC255" i="1"/>
  <c r="AA255" i="1"/>
  <c r="Y255" i="1"/>
  <c r="W255" i="1"/>
  <c r="AD254" i="1"/>
  <c r="AB254" i="1"/>
  <c r="Z254" i="1"/>
  <c r="X254" i="1"/>
  <c r="AD88" i="1"/>
  <c r="AB88" i="1"/>
  <c r="Z88" i="1"/>
  <c r="X88" i="1"/>
  <c r="AC281" i="1"/>
  <c r="AA281" i="1"/>
  <c r="Y281" i="1"/>
  <c r="W281" i="1"/>
  <c r="AC227" i="1"/>
  <c r="AA227" i="1"/>
  <c r="Y227" i="1"/>
  <c r="W227" i="1"/>
  <c r="AD135" i="1"/>
  <c r="AB135" i="1"/>
  <c r="Z135" i="1"/>
  <c r="X135" i="1"/>
  <c r="AC283" i="1"/>
  <c r="AA283" i="1"/>
  <c r="Y283" i="1"/>
  <c r="W283" i="1"/>
  <c r="AD260" i="1"/>
  <c r="AB260" i="1"/>
  <c r="Z260" i="1"/>
  <c r="X260" i="1"/>
  <c r="AC225" i="1"/>
  <c r="AA225" i="1"/>
  <c r="Y225" i="1"/>
  <c r="W225" i="1"/>
  <c r="AD140" i="1"/>
  <c r="AB140" i="1"/>
  <c r="Z140" i="1"/>
  <c r="X140" i="1"/>
  <c r="AC265" i="1"/>
  <c r="AA265" i="1"/>
  <c r="Y265" i="1"/>
  <c r="W265" i="1"/>
  <c r="AD262" i="1"/>
  <c r="AB262" i="1"/>
  <c r="Z262" i="1"/>
  <c r="X262" i="1"/>
  <c r="AC277" i="1"/>
  <c r="AA277" i="1"/>
  <c r="Y277" i="1"/>
  <c r="W277" i="1"/>
  <c r="AD251" i="1"/>
  <c r="AB251" i="1"/>
  <c r="Z251" i="1"/>
  <c r="X251" i="1"/>
  <c r="AC234" i="1"/>
  <c r="AA234" i="1"/>
  <c r="Y234" i="1"/>
  <c r="W234" i="1"/>
  <c r="AD194" i="1"/>
  <c r="AB194" i="1"/>
  <c r="Z194" i="1"/>
  <c r="X194" i="1"/>
  <c r="AC247" i="1"/>
  <c r="AA247" i="1"/>
  <c r="Y247" i="1"/>
  <c r="W247" i="1"/>
  <c r="AD237" i="1"/>
  <c r="AB237" i="1"/>
  <c r="Z237" i="1"/>
  <c r="X237" i="1"/>
  <c r="AC125" i="1"/>
  <c r="AA125" i="1"/>
  <c r="Y125" i="1"/>
  <c r="W125" i="1"/>
  <c r="AC164" i="1"/>
  <c r="AA164" i="1"/>
  <c r="Y164" i="1"/>
  <c r="W164" i="1"/>
  <c r="AD249" i="1"/>
  <c r="AB249" i="1"/>
  <c r="Z249" i="1"/>
  <c r="X249" i="1"/>
  <c r="AD54" i="1"/>
  <c r="AB54" i="1"/>
  <c r="Z54" i="1"/>
  <c r="X54" i="1"/>
  <c r="AC217" i="1"/>
  <c r="AA217" i="1"/>
  <c r="Y217" i="1"/>
  <c r="W217" i="1"/>
  <c r="AD179" i="1"/>
  <c r="AB179" i="1"/>
  <c r="Z179" i="1"/>
  <c r="X179" i="1"/>
  <c r="AC235" i="1"/>
  <c r="Y21" i="1"/>
  <c r="AB252" i="1"/>
  <c r="X252" i="1"/>
  <c r="AC274" i="1"/>
  <c r="Y274" i="1"/>
  <c r="AD250" i="1"/>
  <c r="AB250" i="1"/>
  <c r="Z250" i="1"/>
  <c r="X250" i="1"/>
  <c r="AC118" i="1"/>
  <c r="AA118" i="1"/>
  <c r="Y118" i="1"/>
  <c r="W118" i="1"/>
  <c r="AD228" i="1"/>
  <c r="AB228" i="1"/>
  <c r="Z228" i="1"/>
  <c r="X228" i="1"/>
  <c r="AC119" i="1"/>
  <c r="AA119" i="1"/>
  <c r="Y119" i="1"/>
  <c r="W119" i="1"/>
  <c r="AD255" i="1"/>
  <c r="AB255" i="1"/>
  <c r="Z255" i="1"/>
  <c r="X255" i="1"/>
  <c r="AC254" i="1"/>
  <c r="AA254" i="1"/>
  <c r="Y254" i="1"/>
  <c r="W254" i="1"/>
  <c r="AC88" i="1"/>
  <c r="AA88" i="1"/>
  <c r="Y88" i="1"/>
  <c r="W88" i="1"/>
  <c r="AD281" i="1"/>
  <c r="AB281" i="1"/>
  <c r="Z281" i="1"/>
  <c r="X281" i="1"/>
  <c r="AD227" i="1"/>
  <c r="AB227" i="1"/>
  <c r="Z227" i="1"/>
  <c r="X227" i="1"/>
  <c r="AC135" i="1"/>
  <c r="AA135" i="1"/>
  <c r="Y135" i="1"/>
  <c r="W135" i="1"/>
  <c r="AD283" i="1"/>
  <c r="AB283" i="1"/>
  <c r="Z283" i="1"/>
  <c r="X283" i="1"/>
  <c r="AC260" i="1"/>
  <c r="AA260" i="1"/>
  <c r="Y260" i="1"/>
  <c r="W260" i="1"/>
  <c r="AD225" i="1"/>
  <c r="AB225" i="1"/>
  <c r="Z225" i="1"/>
  <c r="X225" i="1"/>
  <c r="AC140" i="1"/>
  <c r="AA140" i="1"/>
  <c r="Y140" i="1"/>
  <c r="W140" i="1"/>
  <c r="AD265" i="1"/>
  <c r="AB265" i="1"/>
  <c r="Z265" i="1"/>
  <c r="X265" i="1"/>
  <c r="AC262" i="1"/>
  <c r="AA262" i="1"/>
  <c r="Y262" i="1"/>
  <c r="W262" i="1"/>
  <c r="AD277" i="1"/>
  <c r="AB277" i="1"/>
  <c r="Z277" i="1"/>
  <c r="X277" i="1"/>
  <c r="AC251" i="1"/>
  <c r="AA251" i="1"/>
  <c r="Y251" i="1"/>
  <c r="W251" i="1"/>
  <c r="AD234" i="1"/>
  <c r="AB234" i="1"/>
  <c r="Z234" i="1"/>
  <c r="X234" i="1"/>
  <c r="AC194" i="1"/>
  <c r="AA194" i="1"/>
  <c r="Y194" i="1"/>
  <c r="W194" i="1"/>
  <c r="AD247" i="1"/>
  <c r="AB247" i="1"/>
  <c r="Z247" i="1"/>
  <c r="X247" i="1"/>
  <c r="AC237" i="1"/>
  <c r="AA237" i="1"/>
  <c r="Y237" i="1"/>
  <c r="W237" i="1"/>
  <c r="AD125" i="1"/>
  <c r="AB125" i="1"/>
  <c r="Z125" i="1"/>
  <c r="X125" i="1"/>
  <c r="AD164" i="1"/>
  <c r="AB164" i="1"/>
  <c r="Z164" i="1"/>
  <c r="X164" i="1"/>
  <c r="AC249" i="1"/>
  <c r="AA249" i="1"/>
  <c r="W249" i="1"/>
  <c r="AA54" i="1"/>
  <c r="W54" i="1"/>
  <c r="AD217" i="1"/>
  <c r="Z217" i="1"/>
  <c r="AA179" i="1"/>
  <c r="W179" i="1"/>
  <c r="AD235" i="1"/>
  <c r="AA235" i="1"/>
  <c r="Y235" i="1"/>
  <c r="W235" i="1"/>
  <c r="AC104" i="1"/>
  <c r="AA104" i="1"/>
  <c r="Y104" i="1"/>
  <c r="W104" i="1"/>
  <c r="AD101" i="1"/>
  <c r="AB101" i="1"/>
  <c r="Z101" i="1"/>
  <c r="X101" i="1"/>
  <c r="AC201" i="1"/>
  <c r="AA201" i="1"/>
  <c r="Y201" i="1"/>
  <c r="W201" i="1"/>
  <c r="AD248" i="1"/>
  <c r="AB248" i="1"/>
  <c r="Z248" i="1"/>
  <c r="X248" i="1"/>
  <c r="AC146" i="1"/>
  <c r="AA146" i="1"/>
  <c r="Y146" i="1"/>
  <c r="W146" i="1"/>
  <c r="AD258" i="1"/>
  <c r="AB258" i="1"/>
  <c r="Z258" i="1"/>
  <c r="X258" i="1"/>
  <c r="AD222" i="1"/>
  <c r="AB222" i="1"/>
  <c r="Z222" i="1"/>
  <c r="X222" i="1"/>
  <c r="AC209" i="1"/>
  <c r="AA209" i="1"/>
  <c r="Y209" i="1"/>
  <c r="W209" i="1"/>
  <c r="AD275" i="1"/>
  <c r="AB275" i="1"/>
  <c r="Z275" i="1"/>
  <c r="X275" i="1"/>
  <c r="AC79" i="1"/>
  <c r="AA79" i="1"/>
  <c r="Y79" i="1"/>
  <c r="W79" i="1"/>
  <c r="AD80" i="1"/>
  <c r="AB80" i="1"/>
  <c r="Z80" i="1"/>
  <c r="X80" i="1"/>
  <c r="AD211" i="1"/>
  <c r="AB211" i="1"/>
  <c r="Z211" i="1"/>
  <c r="X211" i="1"/>
  <c r="AC58" i="1"/>
  <c r="AA58" i="1"/>
  <c r="Y58" i="1"/>
  <c r="W58" i="1"/>
  <c r="AC154" i="1"/>
  <c r="AA154" i="1"/>
  <c r="Y154" i="1"/>
  <c r="W154" i="1"/>
  <c r="AD189" i="1"/>
  <c r="AB189" i="1"/>
  <c r="Z189" i="1"/>
  <c r="X189" i="1"/>
  <c r="AC106" i="1"/>
  <c r="AA106" i="1"/>
  <c r="Y106" i="1"/>
  <c r="W106" i="1"/>
  <c r="AD68" i="1"/>
  <c r="AB68" i="1"/>
  <c r="Z68" i="1"/>
  <c r="X68" i="1"/>
  <c r="AC212" i="1"/>
  <c r="AA212" i="1"/>
  <c r="Y212" i="1"/>
  <c r="W212" i="1"/>
  <c r="AD193" i="1"/>
  <c r="AB193" i="1"/>
  <c r="Z193" i="1"/>
  <c r="X193" i="1"/>
  <c r="AD110" i="1"/>
  <c r="AB110" i="1"/>
  <c r="Z110" i="1"/>
  <c r="X110" i="1"/>
  <c r="AC243" i="1"/>
  <c r="AA243" i="1"/>
  <c r="Y243" i="1"/>
  <c r="W243" i="1"/>
  <c r="AD171" i="1"/>
  <c r="AB171" i="1"/>
  <c r="Z171" i="1"/>
  <c r="X171" i="1"/>
  <c r="AC210" i="1"/>
  <c r="AA210" i="1"/>
  <c r="Y210" i="1"/>
  <c r="W210" i="1"/>
  <c r="AD100" i="1"/>
  <c r="AB100" i="1"/>
  <c r="Z100" i="1"/>
  <c r="X100" i="1"/>
  <c r="AC207" i="1"/>
  <c r="AA207" i="1"/>
  <c r="Y207" i="1"/>
  <c r="W207" i="1"/>
  <c r="AD178" i="1"/>
  <c r="AB178" i="1"/>
  <c r="Z178" i="1"/>
  <c r="X178" i="1"/>
  <c r="AC190" i="1"/>
  <c r="AA190" i="1"/>
  <c r="Y190" i="1"/>
  <c r="W190" i="1"/>
  <c r="AD199" i="1"/>
  <c r="AB199" i="1"/>
  <c r="Z199" i="1"/>
  <c r="X199" i="1"/>
  <c r="AC177" i="1"/>
  <c r="AA177" i="1"/>
  <c r="Y177" i="1"/>
  <c r="W177" i="1"/>
  <c r="AD245" i="1"/>
  <c r="Y249" i="1"/>
  <c r="AC54" i="1"/>
  <c r="Y54" i="1"/>
  <c r="AB217" i="1"/>
  <c r="X217" i="1"/>
  <c r="AC179" i="1"/>
  <c r="Y179" i="1"/>
  <c r="AB235" i="1"/>
  <c r="Z235" i="1"/>
  <c r="X235" i="1"/>
  <c r="AD104" i="1"/>
  <c r="AB104" i="1"/>
  <c r="Z104" i="1"/>
  <c r="X104" i="1"/>
  <c r="AC101" i="1"/>
  <c r="AA101" i="1"/>
  <c r="Y101" i="1"/>
  <c r="W101" i="1"/>
  <c r="AD201" i="1"/>
  <c r="AB201" i="1"/>
  <c r="Z201" i="1"/>
  <c r="X201" i="1"/>
  <c r="AC248" i="1"/>
  <c r="AA248" i="1"/>
  <c r="Y248" i="1"/>
  <c r="W248" i="1"/>
  <c r="AD146" i="1"/>
  <c r="AB146" i="1"/>
  <c r="Z146" i="1"/>
  <c r="X146" i="1"/>
  <c r="AC258" i="1"/>
  <c r="AA258" i="1"/>
  <c r="Y258" i="1"/>
  <c r="W258" i="1"/>
  <c r="AC222" i="1"/>
  <c r="AA222" i="1"/>
  <c r="Y222" i="1"/>
  <c r="W222" i="1"/>
  <c r="AD209" i="1"/>
  <c r="AB209" i="1"/>
  <c r="Z209" i="1"/>
  <c r="X209" i="1"/>
  <c r="AC275" i="1"/>
  <c r="AA275" i="1"/>
  <c r="Y275" i="1"/>
  <c r="W275" i="1"/>
  <c r="AD79" i="1"/>
  <c r="AB79" i="1"/>
  <c r="Z79" i="1"/>
  <c r="X79" i="1"/>
  <c r="AC80" i="1"/>
  <c r="AA80" i="1"/>
  <c r="Y80" i="1"/>
  <c r="W80" i="1"/>
  <c r="AC211" i="1"/>
  <c r="AA211" i="1"/>
  <c r="Y211" i="1"/>
  <c r="W211" i="1"/>
  <c r="AD58" i="1"/>
  <c r="AB58" i="1"/>
  <c r="Z58" i="1"/>
  <c r="X58" i="1"/>
  <c r="AD154" i="1"/>
  <c r="AB154" i="1"/>
  <c r="Z154" i="1"/>
  <c r="X154" i="1"/>
  <c r="AC189" i="1"/>
  <c r="AA189" i="1"/>
  <c r="Y189" i="1"/>
  <c r="W189" i="1"/>
  <c r="AD106" i="1"/>
  <c r="AB106" i="1"/>
  <c r="Z106" i="1"/>
  <c r="X106" i="1"/>
  <c r="AC68" i="1"/>
  <c r="AA68" i="1"/>
  <c r="Y68" i="1"/>
  <c r="W68" i="1"/>
  <c r="AD212" i="1"/>
  <c r="AB212" i="1"/>
  <c r="Z212" i="1"/>
  <c r="X212" i="1"/>
  <c r="AC193" i="1"/>
  <c r="AA193" i="1"/>
  <c r="Y193" i="1"/>
  <c r="W193" i="1"/>
  <c r="AC110" i="1"/>
  <c r="AA110" i="1"/>
  <c r="Y110" i="1"/>
  <c r="W110" i="1"/>
  <c r="AD243" i="1"/>
  <c r="AB243" i="1"/>
  <c r="Z243" i="1"/>
  <c r="X243" i="1"/>
  <c r="AC171" i="1"/>
  <c r="AA171" i="1"/>
  <c r="Y171" i="1"/>
  <c r="W171" i="1"/>
  <c r="AD210" i="1"/>
  <c r="AB210" i="1"/>
  <c r="Z210" i="1"/>
  <c r="X210" i="1"/>
  <c r="AC100" i="1"/>
  <c r="AA100" i="1"/>
  <c r="Y100" i="1"/>
  <c r="W100" i="1"/>
  <c r="AD207" i="1"/>
  <c r="AB207" i="1"/>
  <c r="Z207" i="1"/>
  <c r="X207" i="1"/>
  <c r="AC178" i="1"/>
  <c r="AA178" i="1"/>
  <c r="Y178" i="1"/>
  <c r="W178" i="1"/>
  <c r="AD190" i="1"/>
  <c r="AB190" i="1"/>
  <c r="Z190" i="1"/>
  <c r="AA199" i="1"/>
  <c r="W199" i="1"/>
  <c r="AD177" i="1"/>
  <c r="Z177" i="1"/>
  <c r="AB245" i="1"/>
  <c r="Z245" i="1"/>
  <c r="X245" i="1"/>
  <c r="AD159" i="1"/>
  <c r="AB159" i="1"/>
  <c r="Z159" i="1"/>
  <c r="X159" i="1"/>
  <c r="AD176" i="1"/>
  <c r="AB176" i="1"/>
  <c r="Z176" i="1"/>
  <c r="X176" i="1"/>
  <c r="AC205" i="1"/>
  <c r="AA205" i="1"/>
  <c r="Y205" i="1"/>
  <c r="W205" i="1"/>
  <c r="AD160" i="1"/>
  <c r="AB160" i="1"/>
  <c r="Z160" i="1"/>
  <c r="X160" i="1"/>
  <c r="AC165" i="1"/>
  <c r="AA165" i="1"/>
  <c r="Y165" i="1"/>
  <c r="W165" i="1"/>
  <c r="AC203" i="1"/>
  <c r="AA203" i="1"/>
  <c r="Y203" i="1"/>
  <c r="W203" i="1"/>
  <c r="AD90" i="1"/>
  <c r="AB90" i="1"/>
  <c r="Z90" i="1"/>
  <c r="X90" i="1"/>
  <c r="AC191" i="1"/>
  <c r="AA191" i="1"/>
  <c r="Y191" i="1"/>
  <c r="W191" i="1"/>
  <c r="AD213" i="1"/>
  <c r="AB213" i="1"/>
  <c r="Z213" i="1"/>
  <c r="X213" i="1"/>
  <c r="AC163" i="1"/>
  <c r="AA163" i="1"/>
  <c r="Y163" i="1"/>
  <c r="W163" i="1"/>
  <c r="AC257" i="1"/>
  <c r="AA257" i="1"/>
  <c r="Y257" i="1"/>
  <c r="W257" i="1"/>
  <c r="AD221" i="1"/>
  <c r="AB221" i="1"/>
  <c r="Z221" i="1"/>
  <c r="X221" i="1"/>
  <c r="AC166" i="1"/>
  <c r="AA166" i="1"/>
  <c r="Y166" i="1"/>
  <c r="W166" i="1"/>
  <c r="AC139" i="1"/>
  <c r="AA139" i="1"/>
  <c r="Y139" i="1"/>
  <c r="W139" i="1"/>
  <c r="AD218" i="1"/>
  <c r="AB218" i="1"/>
  <c r="Z218" i="1"/>
  <c r="X218" i="1"/>
  <c r="AD223" i="1"/>
  <c r="AB223" i="1"/>
  <c r="Z223" i="1"/>
  <c r="X223" i="1"/>
  <c r="AC206" i="1"/>
  <c r="AA206" i="1"/>
  <c r="Y206" i="1"/>
  <c r="W206" i="1"/>
  <c r="AD144" i="1"/>
  <c r="AB144" i="1"/>
  <c r="Z144" i="1"/>
  <c r="X144" i="1"/>
  <c r="AC175" i="1"/>
  <c r="AA175" i="1"/>
  <c r="Y175" i="1"/>
  <c r="W175" i="1"/>
  <c r="AD134" i="1"/>
  <c r="AB134" i="1"/>
  <c r="Z134" i="1"/>
  <c r="X134" i="1"/>
  <c r="AC174" i="1"/>
  <c r="AA174" i="1"/>
  <c r="Y174" i="1"/>
  <c r="W174" i="1"/>
  <c r="AC107" i="1"/>
  <c r="AA107" i="1"/>
  <c r="Y107" i="1"/>
  <c r="W107" i="1"/>
  <c r="AC241" i="1"/>
  <c r="AA241" i="1"/>
  <c r="Y241" i="1"/>
  <c r="W241" i="1"/>
  <c r="AD240" i="1"/>
  <c r="AB240" i="1"/>
  <c r="Z240" i="1"/>
  <c r="X240" i="1"/>
  <c r="AC162" i="1"/>
  <c r="AA162" i="1"/>
  <c r="Y162" i="1"/>
  <c r="W162" i="1"/>
  <c r="AD29" i="1"/>
  <c r="AB29" i="1"/>
  <c r="Z29" i="1"/>
  <c r="X29" i="1"/>
  <c r="AD115" i="1"/>
  <c r="AB115" i="1"/>
  <c r="Z115" i="1"/>
  <c r="X115" i="1"/>
  <c r="AC153" i="1"/>
  <c r="AA153" i="1"/>
  <c r="Y153" i="1"/>
  <c r="W153" i="1"/>
  <c r="AD149" i="1"/>
  <c r="AB149" i="1"/>
  <c r="Z149" i="1"/>
  <c r="X149" i="1"/>
  <c r="AC204" i="1"/>
  <c r="AA204" i="1"/>
  <c r="Y204" i="1"/>
  <c r="W204" i="1"/>
  <c r="AD233" i="1"/>
  <c r="AB233" i="1"/>
  <c r="Z233" i="1"/>
  <c r="X233" i="1"/>
  <c r="AC132" i="1"/>
  <c r="AA132" i="1"/>
  <c r="Y132" i="1"/>
  <c r="W132" i="1"/>
  <c r="AD239" i="1"/>
  <c r="AB239" i="1"/>
  <c r="Z239" i="1"/>
  <c r="X239" i="1"/>
  <c r="AC232" i="1"/>
  <c r="AA232" i="1"/>
  <c r="Y232" i="1"/>
  <c r="W232" i="1"/>
  <c r="AD95" i="1"/>
  <c r="AB95" i="1"/>
  <c r="Z95" i="1"/>
  <c r="X95" i="1"/>
  <c r="AC215" i="1"/>
  <c r="AA215" i="1"/>
  <c r="Y215" i="1"/>
  <c r="W215" i="1"/>
  <c r="AD152" i="1"/>
  <c r="AB152" i="1"/>
  <c r="Z152" i="1"/>
  <c r="X152" i="1"/>
  <c r="AC197" i="1"/>
  <c r="AA197" i="1"/>
  <c r="Y197" i="1"/>
  <c r="W197" i="1"/>
  <c r="AC84" i="1"/>
  <c r="AA84" i="1"/>
  <c r="Y84" i="1"/>
  <c r="W84" i="1"/>
  <c r="AD141" i="1"/>
  <c r="AB141" i="1"/>
  <c r="Z141" i="1"/>
  <c r="X141" i="1"/>
  <c r="AC133" i="1"/>
  <c r="AA133" i="1"/>
  <c r="Y133" i="1"/>
  <c r="W133" i="1"/>
  <c r="AC181" i="1"/>
  <c r="AA181" i="1"/>
  <c r="Y181" i="1"/>
  <c r="W181" i="1"/>
  <c r="AD208" i="1"/>
  <c r="AB208" i="1"/>
  <c r="Z208" i="1"/>
  <c r="X208" i="1"/>
  <c r="AC130" i="1"/>
  <c r="AA130" i="1"/>
  <c r="Y130" i="1"/>
  <c r="W130" i="1"/>
  <c r="AC51" i="1"/>
  <c r="AA51" i="1"/>
  <c r="Y51" i="1"/>
  <c r="W51" i="1"/>
  <c r="AD27" i="1"/>
  <c r="AB27" i="1"/>
  <c r="Z27" i="1"/>
  <c r="X27" i="1"/>
  <c r="AC220" i="1"/>
  <c r="AA220" i="1"/>
  <c r="Y220" i="1"/>
  <c r="W220" i="1"/>
  <c r="AD91" i="1"/>
  <c r="AB91" i="1"/>
  <c r="Z91" i="1"/>
  <c r="X91" i="1"/>
  <c r="AC173" i="1"/>
  <c r="AA173" i="1"/>
  <c r="Y173" i="1"/>
  <c r="W173" i="1"/>
  <c r="AC82" i="1"/>
  <c r="AA82" i="1"/>
  <c r="Y82" i="1"/>
  <c r="W82" i="1"/>
  <c r="AD183" i="1"/>
  <c r="X190" i="1"/>
  <c r="AC199" i="1"/>
  <c r="Y199" i="1"/>
  <c r="AB177" i="1"/>
  <c r="X177" i="1"/>
  <c r="AC245" i="1"/>
  <c r="AA245" i="1"/>
  <c r="Y245" i="1"/>
  <c r="W245" i="1"/>
  <c r="AC159" i="1"/>
  <c r="AA159" i="1"/>
  <c r="Y159" i="1"/>
  <c r="W159" i="1"/>
  <c r="AC176" i="1"/>
  <c r="AA176" i="1"/>
  <c r="Y176" i="1"/>
  <c r="W176" i="1"/>
  <c r="AD205" i="1"/>
  <c r="AB205" i="1"/>
  <c r="Z205" i="1"/>
  <c r="X205" i="1"/>
  <c r="AC160" i="1"/>
  <c r="AA160" i="1"/>
  <c r="Y160" i="1"/>
  <c r="W160" i="1"/>
  <c r="AD165" i="1"/>
  <c r="AB165" i="1"/>
  <c r="Z165" i="1"/>
  <c r="X165" i="1"/>
  <c r="AD203" i="1"/>
  <c r="AB203" i="1"/>
  <c r="Z203" i="1"/>
  <c r="X203" i="1"/>
  <c r="AC90" i="1"/>
  <c r="AA90" i="1"/>
  <c r="Y90" i="1"/>
  <c r="W90" i="1"/>
  <c r="AD191" i="1"/>
  <c r="AB191" i="1"/>
  <c r="Z191" i="1"/>
  <c r="X191" i="1"/>
  <c r="AC213" i="1"/>
  <c r="AA213" i="1"/>
  <c r="Y213" i="1"/>
  <c r="W213" i="1"/>
  <c r="AD163" i="1"/>
  <c r="AB163" i="1"/>
  <c r="Z163" i="1"/>
  <c r="X163" i="1"/>
  <c r="AD257" i="1"/>
  <c r="AB257" i="1"/>
  <c r="Z257" i="1"/>
  <c r="X257" i="1"/>
  <c r="AC221" i="1"/>
  <c r="AA221" i="1"/>
  <c r="Y221" i="1"/>
  <c r="W221" i="1"/>
  <c r="AD166" i="1"/>
  <c r="AB166" i="1"/>
  <c r="Z166" i="1"/>
  <c r="X166" i="1"/>
  <c r="AD139" i="1"/>
  <c r="AB139" i="1"/>
  <c r="Z139" i="1"/>
  <c r="X139" i="1"/>
  <c r="AC218" i="1"/>
  <c r="AA218" i="1"/>
  <c r="Y218" i="1"/>
  <c r="W218" i="1"/>
  <c r="AC223" i="1"/>
  <c r="AA223" i="1"/>
  <c r="Y223" i="1"/>
  <c r="W223" i="1"/>
  <c r="AD206" i="1"/>
  <c r="AB206" i="1"/>
  <c r="Z206" i="1"/>
  <c r="X206" i="1"/>
  <c r="AC144" i="1"/>
  <c r="AA144" i="1"/>
  <c r="Y144" i="1"/>
  <c r="W144" i="1"/>
  <c r="AD175" i="1"/>
  <c r="AB175" i="1"/>
  <c r="Z175" i="1"/>
  <c r="X175" i="1"/>
  <c r="AC134" i="1"/>
  <c r="AA134" i="1"/>
  <c r="Y134" i="1"/>
  <c r="W134" i="1"/>
  <c r="AD174" i="1"/>
  <c r="AB174" i="1"/>
  <c r="Z174" i="1"/>
  <c r="X174" i="1"/>
  <c r="AD107" i="1"/>
  <c r="AB107" i="1"/>
  <c r="Z107" i="1"/>
  <c r="X107" i="1"/>
  <c r="AD241" i="1"/>
  <c r="AB241" i="1"/>
  <c r="Z241" i="1"/>
  <c r="X241" i="1"/>
  <c r="AC240" i="1"/>
  <c r="AA240" i="1"/>
  <c r="Y240" i="1"/>
  <c r="W240" i="1"/>
  <c r="AD162" i="1"/>
  <c r="AB162" i="1"/>
  <c r="Z162" i="1"/>
  <c r="X162" i="1"/>
  <c r="AC29" i="1"/>
  <c r="AA29" i="1"/>
  <c r="Y29" i="1"/>
  <c r="W29" i="1"/>
  <c r="AC115" i="1"/>
  <c r="AA115" i="1"/>
  <c r="Y115" i="1"/>
  <c r="W115" i="1"/>
  <c r="AD153" i="1"/>
  <c r="AB153" i="1"/>
  <c r="Z153" i="1"/>
  <c r="X153" i="1"/>
  <c r="AC149" i="1"/>
  <c r="AA149" i="1"/>
  <c r="Y149" i="1"/>
  <c r="W149" i="1"/>
  <c r="AD204" i="1"/>
  <c r="AB204" i="1"/>
  <c r="Z204" i="1"/>
  <c r="X204" i="1"/>
  <c r="AC233" i="1"/>
  <c r="AA233" i="1"/>
  <c r="Y233" i="1"/>
  <c r="W233" i="1"/>
  <c r="AD132" i="1"/>
  <c r="AB132" i="1"/>
  <c r="Z132" i="1"/>
  <c r="X132" i="1"/>
  <c r="AC239" i="1"/>
  <c r="AA239" i="1"/>
  <c r="Y239" i="1"/>
  <c r="W239" i="1"/>
  <c r="AD232" i="1"/>
  <c r="AB232" i="1"/>
  <c r="Z232" i="1"/>
  <c r="X232" i="1"/>
  <c r="AC95" i="1"/>
  <c r="AA95" i="1"/>
  <c r="Y95" i="1"/>
  <c r="W95" i="1"/>
  <c r="AD215" i="1"/>
  <c r="AB215" i="1"/>
  <c r="Z215" i="1"/>
  <c r="X215" i="1"/>
  <c r="AC152" i="1"/>
  <c r="AA152" i="1"/>
  <c r="Y152" i="1"/>
  <c r="W152" i="1"/>
  <c r="AD197" i="1"/>
  <c r="AB197" i="1"/>
  <c r="Z197" i="1"/>
  <c r="X197" i="1"/>
  <c r="AD84" i="1"/>
  <c r="AB84" i="1"/>
  <c r="Z84" i="1"/>
  <c r="X84" i="1"/>
  <c r="AC141" i="1"/>
  <c r="AA141" i="1"/>
  <c r="Y141" i="1"/>
  <c r="W141" i="1"/>
  <c r="AD133" i="1"/>
  <c r="AB133" i="1"/>
  <c r="Z133" i="1"/>
  <c r="X133" i="1"/>
  <c r="AD181" i="1"/>
  <c r="AB181" i="1"/>
  <c r="Z181" i="1"/>
  <c r="X181" i="1"/>
  <c r="AC208" i="1"/>
  <c r="AA208" i="1"/>
  <c r="Y208" i="1"/>
  <c r="W208" i="1"/>
  <c r="AD130" i="1"/>
  <c r="AB130" i="1"/>
  <c r="Z130" i="1"/>
  <c r="X130" i="1"/>
  <c r="AD51" i="1"/>
  <c r="AB51" i="1"/>
  <c r="Z51" i="1"/>
  <c r="X51" i="1"/>
  <c r="AC27" i="1"/>
  <c r="AA27" i="1"/>
  <c r="Y27" i="1"/>
  <c r="W27" i="1"/>
  <c r="AD220" i="1"/>
  <c r="AB220" i="1"/>
  <c r="Z220" i="1"/>
  <c r="X220" i="1"/>
  <c r="AC91" i="1"/>
  <c r="Y91" i="1"/>
  <c r="AB173" i="1"/>
  <c r="X173" i="1"/>
  <c r="AB82" i="1"/>
  <c r="X82" i="1"/>
  <c r="AC183" i="1"/>
  <c r="AA183" i="1"/>
  <c r="Y183" i="1"/>
  <c r="W183" i="1"/>
  <c r="AD184" i="1"/>
  <c r="AB184" i="1"/>
  <c r="Z184" i="1"/>
  <c r="X184" i="1"/>
  <c r="AC170" i="1"/>
  <c r="AA170" i="1"/>
  <c r="Y170" i="1"/>
  <c r="W170" i="1"/>
  <c r="AD186" i="1"/>
  <c r="AB186" i="1"/>
  <c r="Z186" i="1"/>
  <c r="X186" i="1"/>
  <c r="AC185" i="1"/>
  <c r="AA185" i="1"/>
  <c r="Y185" i="1"/>
  <c r="W185" i="1"/>
  <c r="AC242" i="1"/>
  <c r="AA242" i="1"/>
  <c r="Y242" i="1"/>
  <c r="W242" i="1"/>
  <c r="AD168" i="1"/>
  <c r="AB168" i="1"/>
  <c r="Z168" i="1"/>
  <c r="X168" i="1"/>
  <c r="AC202" i="1"/>
  <c r="AA202" i="1"/>
  <c r="Y202" i="1"/>
  <c r="W202" i="1"/>
  <c r="AC182" i="1"/>
  <c r="AA182" i="1"/>
  <c r="Y182" i="1"/>
  <c r="W182" i="1"/>
  <c r="AD253" i="1"/>
  <c r="AB253" i="1"/>
  <c r="Z253" i="1"/>
  <c r="X253" i="1"/>
  <c r="AC112" i="1"/>
  <c r="AA112" i="1"/>
  <c r="Y112" i="1"/>
  <c r="W112" i="1"/>
  <c r="AC18" i="1"/>
  <c r="AA18" i="1"/>
  <c r="Y18" i="1"/>
  <c r="W18" i="1"/>
  <c r="AD238" i="1"/>
  <c r="AB238" i="1"/>
  <c r="Z238" i="1"/>
  <c r="X238" i="1"/>
  <c r="AD196" i="1"/>
  <c r="AB196" i="1"/>
  <c r="Z196" i="1"/>
  <c r="X196" i="1"/>
  <c r="AC56" i="1"/>
  <c r="AA56" i="1"/>
  <c r="Y56" i="1"/>
  <c r="W56" i="1"/>
  <c r="AD137" i="1"/>
  <c r="AB137" i="1"/>
  <c r="Z137" i="1"/>
  <c r="X137" i="1"/>
  <c r="AC268" i="1"/>
  <c r="AA268" i="1"/>
  <c r="Y268" i="1"/>
  <c r="W268" i="1"/>
  <c r="AD158" i="1"/>
  <c r="AB158" i="1"/>
  <c r="Z158" i="1"/>
  <c r="X158" i="1"/>
  <c r="AD264" i="1"/>
  <c r="AB264" i="1"/>
  <c r="Z264" i="1"/>
  <c r="X264" i="1"/>
  <c r="AC142" i="1"/>
  <c r="AA142" i="1"/>
  <c r="Y142" i="1"/>
  <c r="W142" i="1"/>
  <c r="AC156" i="1"/>
  <c r="AA156" i="1"/>
  <c r="Y156" i="1"/>
  <c r="W156" i="1"/>
  <c r="AD43" i="1"/>
  <c r="AB43" i="1"/>
  <c r="Z43" i="1"/>
  <c r="X43" i="1"/>
  <c r="AD66" i="1"/>
  <c r="AB66" i="1"/>
  <c r="Z66" i="1"/>
  <c r="X66" i="1"/>
  <c r="AC52" i="1"/>
  <c r="AA52" i="1"/>
  <c r="Y52" i="1"/>
  <c r="W52" i="1"/>
  <c r="AC187" i="1"/>
  <c r="AA187" i="1"/>
  <c r="Y187" i="1"/>
  <c r="W187" i="1"/>
  <c r="AC148" i="1"/>
  <c r="AA148" i="1"/>
  <c r="Y148" i="1"/>
  <c r="W148" i="1"/>
  <c r="AD59" i="1"/>
  <c r="AB59" i="1"/>
  <c r="Z59" i="1"/>
  <c r="X59" i="1"/>
  <c r="AC78" i="1"/>
  <c r="AA78" i="1"/>
  <c r="Y78" i="1"/>
  <c r="W78" i="1"/>
  <c r="AC216" i="1"/>
  <c r="AA216" i="1"/>
  <c r="Y216" i="1"/>
  <c r="W216" i="1"/>
  <c r="AD108" i="1"/>
  <c r="AB108" i="1"/>
  <c r="Z108" i="1"/>
  <c r="X108" i="1"/>
  <c r="AC136" i="1"/>
  <c r="AA136" i="1"/>
  <c r="Y136" i="1"/>
  <c r="W136" i="1"/>
  <c r="AC45" i="1"/>
  <c r="AA45" i="1"/>
  <c r="Y45" i="1"/>
  <c r="W45" i="1"/>
  <c r="AD120" i="1"/>
  <c r="AB120" i="1"/>
  <c r="Z120" i="1"/>
  <c r="X120" i="1"/>
  <c r="AD37" i="1"/>
  <c r="AB37" i="1"/>
  <c r="Z37" i="1"/>
  <c r="X37" i="1"/>
  <c r="AD57" i="1"/>
  <c r="AB57" i="1"/>
  <c r="Z57" i="1"/>
  <c r="X57" i="1"/>
  <c r="AC157" i="1"/>
  <c r="AA157" i="1"/>
  <c r="Y157" i="1"/>
  <c r="W157" i="1"/>
  <c r="AD145" i="1"/>
  <c r="AB145" i="1"/>
  <c r="Z145" i="1"/>
  <c r="X145" i="1"/>
  <c r="AD167" i="1"/>
  <c r="AB167" i="1"/>
  <c r="Z167" i="1"/>
  <c r="X167" i="1"/>
  <c r="AC44" i="1"/>
  <c r="AA44" i="1"/>
  <c r="Y44" i="1"/>
  <c r="W44" i="1"/>
  <c r="AD33" i="1"/>
  <c r="AB33" i="1"/>
  <c r="Z33" i="1"/>
  <c r="X33" i="1"/>
  <c r="AC129" i="1"/>
  <c r="AA129" i="1"/>
  <c r="Y129" i="1"/>
  <c r="W129" i="1"/>
  <c r="AD69" i="1"/>
  <c r="AB69" i="1"/>
  <c r="Z69" i="1"/>
  <c r="X69" i="1"/>
  <c r="AC40" i="1"/>
  <c r="AA40" i="1"/>
  <c r="Y40" i="1"/>
  <c r="W40" i="1"/>
  <c r="AD39" i="1"/>
  <c r="AB39" i="1"/>
  <c r="Z39" i="1"/>
  <c r="X39" i="1"/>
  <c r="AC102" i="1"/>
  <c r="AA102" i="1"/>
  <c r="Y102" i="1"/>
  <c r="W102" i="1"/>
  <c r="AC127" i="1"/>
  <c r="AA127" i="1"/>
  <c r="Y127" i="1"/>
  <c r="W127" i="1"/>
  <c r="AC73" i="1"/>
  <c r="AA73" i="1"/>
  <c r="Y73" i="1"/>
  <c r="W73" i="1"/>
  <c r="AD72" i="1"/>
  <c r="AB72" i="1"/>
  <c r="Z72" i="1"/>
  <c r="X72" i="1"/>
  <c r="AA91" i="1"/>
  <c r="W91" i="1"/>
  <c r="AD173" i="1"/>
  <c r="Z173" i="1"/>
  <c r="AD82" i="1"/>
  <c r="Z82" i="1"/>
  <c r="AB183" i="1"/>
  <c r="Z183" i="1"/>
  <c r="X183" i="1"/>
  <c r="AC184" i="1"/>
  <c r="AA184" i="1"/>
  <c r="Y184" i="1"/>
  <c r="W184" i="1"/>
  <c r="AD170" i="1"/>
  <c r="AB170" i="1"/>
  <c r="Z170" i="1"/>
  <c r="X170" i="1"/>
  <c r="AC186" i="1"/>
  <c r="AA186" i="1"/>
  <c r="Y186" i="1"/>
  <c r="W186" i="1"/>
  <c r="AD185" i="1"/>
  <c r="AB185" i="1"/>
  <c r="Z185" i="1"/>
  <c r="X185" i="1"/>
  <c r="AD242" i="1"/>
  <c r="AB242" i="1"/>
  <c r="Z242" i="1"/>
  <c r="X242" i="1"/>
  <c r="AC168" i="1"/>
  <c r="AA168" i="1"/>
  <c r="Y168" i="1"/>
  <c r="W168" i="1"/>
  <c r="AD202" i="1"/>
  <c r="AB202" i="1"/>
  <c r="Z202" i="1"/>
  <c r="X202" i="1"/>
  <c r="AD182" i="1"/>
  <c r="AB182" i="1"/>
  <c r="Z182" i="1"/>
  <c r="X182" i="1"/>
  <c r="AC253" i="1"/>
  <c r="AA253" i="1"/>
  <c r="Y253" i="1"/>
  <c r="W253" i="1"/>
  <c r="AD112" i="1"/>
  <c r="AB112" i="1"/>
  <c r="Z112" i="1"/>
  <c r="X112" i="1"/>
  <c r="AD18" i="1"/>
  <c r="AB18" i="1"/>
  <c r="Z18" i="1"/>
  <c r="X18" i="1"/>
  <c r="AC238" i="1"/>
  <c r="AA238" i="1"/>
  <c r="Y238" i="1"/>
  <c r="W238" i="1"/>
  <c r="AC196" i="1"/>
  <c r="AA196" i="1"/>
  <c r="Y196" i="1"/>
  <c r="W196" i="1"/>
  <c r="AD56" i="1"/>
  <c r="AB56" i="1"/>
  <c r="Z56" i="1"/>
  <c r="X56" i="1"/>
  <c r="AC137" i="1"/>
  <c r="AA137" i="1"/>
  <c r="Y137" i="1"/>
  <c r="W137" i="1"/>
  <c r="AD268" i="1"/>
  <c r="AB268" i="1"/>
  <c r="Z268" i="1"/>
  <c r="X268" i="1"/>
  <c r="AC158" i="1"/>
  <c r="AA158" i="1"/>
  <c r="Y158" i="1"/>
  <c r="W158" i="1"/>
  <c r="AC264" i="1"/>
  <c r="AA264" i="1"/>
  <c r="Y264" i="1"/>
  <c r="W264" i="1"/>
  <c r="AD142" i="1"/>
  <c r="AB142" i="1"/>
  <c r="Z142" i="1"/>
  <c r="X142" i="1"/>
  <c r="AD156" i="1"/>
  <c r="AB156" i="1"/>
  <c r="Z156" i="1"/>
  <c r="X156" i="1"/>
  <c r="AC43" i="1"/>
  <c r="AA43" i="1"/>
  <c r="Y43" i="1"/>
  <c r="W43" i="1"/>
  <c r="AC66" i="1"/>
  <c r="AA66" i="1"/>
  <c r="Y66" i="1"/>
  <c r="W66" i="1"/>
  <c r="AD52" i="1"/>
  <c r="AB52" i="1"/>
  <c r="Z52" i="1"/>
  <c r="X52" i="1"/>
  <c r="AD187" i="1"/>
  <c r="AB187" i="1"/>
  <c r="Z187" i="1"/>
  <c r="X187" i="1"/>
  <c r="AD148" i="1"/>
  <c r="AB148" i="1"/>
  <c r="Z148" i="1"/>
  <c r="X148" i="1"/>
  <c r="AC59" i="1"/>
  <c r="AA59" i="1"/>
  <c r="Y59" i="1"/>
  <c r="W59" i="1"/>
  <c r="AD78" i="1"/>
  <c r="AB78" i="1"/>
  <c r="Z78" i="1"/>
  <c r="X78" i="1"/>
  <c r="AD216" i="1"/>
  <c r="AB216" i="1"/>
  <c r="Z216" i="1"/>
  <c r="X216" i="1"/>
  <c r="AC108" i="1"/>
  <c r="AA108" i="1"/>
  <c r="Y108" i="1"/>
  <c r="W108" i="1"/>
  <c r="AD136" i="1"/>
  <c r="AB136" i="1"/>
  <c r="Z136" i="1"/>
  <c r="X136" i="1"/>
  <c r="AD45" i="1"/>
  <c r="AB45" i="1"/>
  <c r="Z45" i="1"/>
  <c r="X45" i="1"/>
  <c r="AC120" i="1"/>
  <c r="AA120" i="1"/>
  <c r="Y120" i="1"/>
  <c r="W120" i="1"/>
  <c r="AC37" i="1"/>
  <c r="AA37" i="1"/>
  <c r="Y37" i="1"/>
  <c r="W37" i="1"/>
  <c r="AC57" i="1"/>
  <c r="AA57" i="1"/>
  <c r="Y57" i="1"/>
  <c r="W57" i="1"/>
  <c r="AD157" i="1"/>
  <c r="AB157" i="1"/>
  <c r="Z157" i="1"/>
  <c r="X157" i="1"/>
  <c r="AC145" i="1"/>
  <c r="AA145" i="1"/>
  <c r="Y145" i="1"/>
  <c r="W145" i="1"/>
  <c r="AC167" i="1"/>
  <c r="AA167" i="1"/>
  <c r="Y167" i="1"/>
  <c r="W167" i="1"/>
  <c r="AD44" i="1"/>
  <c r="AB44" i="1"/>
  <c r="Z44" i="1"/>
  <c r="X44" i="1"/>
  <c r="AC33" i="1"/>
  <c r="AA33" i="1"/>
  <c r="Y33" i="1"/>
  <c r="W33" i="1"/>
  <c r="AD129" i="1"/>
  <c r="AB129" i="1"/>
  <c r="Z129" i="1"/>
  <c r="X129" i="1"/>
  <c r="AC69" i="1"/>
  <c r="AA69" i="1"/>
  <c r="Y69" i="1"/>
  <c r="W69" i="1"/>
  <c r="AD40" i="1"/>
  <c r="AB40" i="1"/>
  <c r="Z40" i="1"/>
  <c r="X40" i="1"/>
  <c r="AC39" i="1"/>
  <c r="AA39" i="1"/>
  <c r="Y39" i="1"/>
  <c r="W39" i="1"/>
  <c r="AD102" i="1"/>
  <c r="AB102" i="1"/>
  <c r="Z102" i="1"/>
  <c r="X102" i="1"/>
  <c r="X5" i="1"/>
  <c r="Z5" i="1"/>
  <c r="AB5" i="1"/>
  <c r="AD5" i="1"/>
  <c r="W6" i="1"/>
  <c r="Y6" i="1"/>
  <c r="AA6" i="1"/>
  <c r="AC6" i="1"/>
  <c r="W169" i="1"/>
  <c r="Y169" i="1"/>
  <c r="AA169" i="1"/>
  <c r="AC169" i="1"/>
  <c r="W109" i="1"/>
  <c r="Y109" i="1"/>
  <c r="AA109" i="1"/>
  <c r="AC109" i="1"/>
  <c r="X147" i="1"/>
  <c r="Z147" i="1"/>
  <c r="AB147" i="1"/>
  <c r="AD147" i="1"/>
  <c r="X128" i="1"/>
  <c r="Z128" i="1"/>
  <c r="AB128" i="1"/>
  <c r="AD128" i="1"/>
  <c r="W17" i="1"/>
  <c r="Y17" i="1"/>
  <c r="AA17" i="1"/>
  <c r="AC17" i="1"/>
  <c r="W46" i="1"/>
  <c r="Y46" i="1"/>
  <c r="AA46" i="1"/>
  <c r="AC46" i="1"/>
  <c r="X63" i="1"/>
  <c r="Z63" i="1"/>
  <c r="AB63" i="1"/>
  <c r="AD63" i="1"/>
  <c r="W22" i="1"/>
  <c r="Y22" i="1"/>
  <c r="AA22" i="1"/>
  <c r="AC22" i="1"/>
  <c r="X8" i="1"/>
  <c r="Z8" i="1"/>
  <c r="AB8" i="1"/>
  <c r="AD8" i="1"/>
  <c r="X19" i="1"/>
  <c r="Z19" i="1"/>
  <c r="AB19" i="1"/>
  <c r="AD19" i="1"/>
  <c r="W24" i="1"/>
  <c r="Y24" i="1"/>
  <c r="AA24" i="1"/>
  <c r="AC24" i="1"/>
  <c r="W126" i="1"/>
  <c r="Y126" i="1"/>
  <c r="AA126" i="1"/>
  <c r="AC126" i="1"/>
  <c r="X13" i="1"/>
  <c r="Z13" i="1"/>
  <c r="AB13" i="1"/>
  <c r="AD13" i="1"/>
  <c r="X9" i="1"/>
  <c r="Z9" i="1"/>
  <c r="AB9" i="1"/>
  <c r="AD9" i="1"/>
  <c r="W35" i="1"/>
  <c r="Y35" i="1"/>
  <c r="AA35" i="1"/>
  <c r="AC35" i="1"/>
  <c r="X14" i="1"/>
  <c r="Z14" i="1"/>
  <c r="AB14" i="1"/>
  <c r="AD14" i="1"/>
  <c r="W38" i="1"/>
  <c r="Y38" i="1"/>
  <c r="AA38" i="1"/>
  <c r="AC38" i="1"/>
  <c r="X20" i="1"/>
  <c r="Z20" i="1"/>
  <c r="AB20" i="1"/>
  <c r="AD20" i="1"/>
  <c r="W23" i="1"/>
  <c r="Y23" i="1"/>
  <c r="AA23" i="1"/>
  <c r="AC23" i="1"/>
  <c r="W53" i="1"/>
  <c r="Y53" i="1"/>
  <c r="AA53" i="1"/>
  <c r="AC53" i="1"/>
  <c r="W72" i="1"/>
  <c r="AA72" i="1"/>
  <c r="Z73" i="1"/>
  <c r="AD73" i="1"/>
  <c r="Z127" i="1"/>
  <c r="AD127" i="1"/>
  <c r="W5" i="1"/>
  <c r="Y5" i="1"/>
  <c r="AA5" i="1"/>
  <c r="AC5" i="1"/>
  <c r="X6" i="1"/>
  <c r="Z6" i="1"/>
  <c r="AB6" i="1"/>
  <c r="AD6" i="1"/>
  <c r="X169" i="1"/>
  <c r="Z169" i="1"/>
  <c r="AB169" i="1"/>
  <c r="AD169" i="1"/>
  <c r="X109" i="1"/>
  <c r="Z109" i="1"/>
  <c r="AB109" i="1"/>
  <c r="AD109" i="1"/>
  <c r="W147" i="1"/>
  <c r="Y147" i="1"/>
  <c r="AA147" i="1"/>
  <c r="AC147" i="1"/>
  <c r="W128" i="1"/>
  <c r="Y128" i="1"/>
  <c r="AA128" i="1"/>
  <c r="AC128" i="1"/>
  <c r="X17" i="1"/>
  <c r="Z17" i="1"/>
  <c r="AB17" i="1"/>
  <c r="AD17" i="1"/>
  <c r="X46" i="1"/>
  <c r="Z46" i="1"/>
  <c r="AB46" i="1"/>
  <c r="AD46" i="1"/>
  <c r="W63" i="1"/>
  <c r="Y63" i="1"/>
  <c r="AA63" i="1"/>
  <c r="AC63" i="1"/>
  <c r="X22" i="1"/>
  <c r="Z22" i="1"/>
  <c r="AB22" i="1"/>
  <c r="AD22" i="1"/>
  <c r="W8" i="1"/>
  <c r="Y8" i="1"/>
  <c r="AA8" i="1"/>
  <c r="AC8" i="1"/>
  <c r="W19" i="1"/>
  <c r="Y19" i="1"/>
  <c r="AA19" i="1"/>
  <c r="AC19" i="1"/>
  <c r="X24" i="1"/>
  <c r="Z24" i="1"/>
  <c r="AB24" i="1"/>
  <c r="AD24" i="1"/>
  <c r="X126" i="1"/>
  <c r="Z126" i="1"/>
  <c r="AB126" i="1"/>
  <c r="AD126" i="1"/>
  <c r="W13" i="1"/>
  <c r="Y13" i="1"/>
  <c r="AA13" i="1"/>
  <c r="AC13" i="1"/>
  <c r="W9" i="1"/>
  <c r="Y9" i="1"/>
  <c r="AA9" i="1"/>
  <c r="AC9" i="1"/>
  <c r="X35" i="1"/>
  <c r="Z35" i="1"/>
  <c r="AB35" i="1"/>
  <c r="AD35" i="1"/>
  <c r="W14" i="1"/>
  <c r="Y14" i="1"/>
  <c r="AA14" i="1"/>
  <c r="AC14" i="1"/>
  <c r="X38" i="1"/>
  <c r="Z38" i="1"/>
  <c r="AB38" i="1"/>
  <c r="AD38" i="1"/>
  <c r="W20" i="1"/>
  <c r="Y20" i="1"/>
  <c r="AA20" i="1"/>
  <c r="AC20" i="1"/>
  <c r="X23" i="1"/>
  <c r="Z23" i="1"/>
  <c r="AB23" i="1"/>
  <c r="AD23" i="1"/>
  <c r="X53" i="1"/>
  <c r="Z53" i="1"/>
  <c r="AB53" i="1"/>
  <c r="AD53" i="1"/>
  <c r="Y72" i="1"/>
  <c r="AC72" i="1"/>
  <c r="X73" i="1"/>
  <c r="AB73" i="1"/>
  <c r="X127" i="1"/>
  <c r="AB127" i="1"/>
  <c r="AS3" i="1"/>
  <c r="AT3" i="1"/>
  <c r="AH116" i="1" l="1"/>
  <c r="AJ116" i="1" s="1"/>
  <c r="AH113" i="1"/>
  <c r="AJ113" i="1" s="1"/>
  <c r="AH81" i="1"/>
  <c r="AI81" i="1" s="1"/>
  <c r="AH89" i="1"/>
  <c r="AH122" i="1"/>
  <c r="AH96" i="1"/>
  <c r="AH48" i="1"/>
  <c r="AH64" i="1"/>
  <c r="AH7" i="1"/>
  <c r="AJ7" i="1" s="1"/>
  <c r="AH246" i="1"/>
  <c r="AJ246" i="1" s="1"/>
  <c r="AH280" i="1"/>
  <c r="AJ280" i="1" s="1"/>
  <c r="AH26" i="1"/>
  <c r="AJ26" i="1" s="1"/>
  <c r="AH192" i="1"/>
  <c r="AI192" i="1" s="1"/>
  <c r="AH198" i="1"/>
  <c r="AH74" i="1"/>
  <c r="AH32" i="1"/>
  <c r="AH86" i="1"/>
  <c r="AH98" i="1"/>
  <c r="AH105" i="1"/>
  <c r="AH50" i="1"/>
  <c r="AH25" i="1"/>
  <c r="AH77" i="1"/>
  <c r="AH47" i="1"/>
  <c r="AH99" i="1"/>
  <c r="AH12" i="1"/>
  <c r="AI12" i="1" s="1"/>
  <c r="AH34" i="1"/>
  <c r="AH60" i="1"/>
  <c r="AH92" i="1"/>
  <c r="AH71" i="1"/>
  <c r="AJ71" i="1" s="1"/>
  <c r="AH31" i="1"/>
  <c r="AI31" i="1" s="1"/>
  <c r="AH11" i="1"/>
  <c r="AH16" i="1"/>
  <c r="AH36" i="1"/>
  <c r="AH61" i="1"/>
  <c r="AH15" i="1"/>
  <c r="AH65" i="1"/>
  <c r="AH83" i="1"/>
  <c r="AH10" i="1"/>
  <c r="AJ10" i="1" s="1"/>
  <c r="AH28" i="1"/>
  <c r="AH219" i="1"/>
  <c r="AI219" i="1" s="1"/>
  <c r="AH97" i="1"/>
  <c r="AH161" i="1"/>
  <c r="AH87" i="1"/>
  <c r="AH114" i="1"/>
  <c r="AI114" i="1" s="1"/>
  <c r="AH231" i="1"/>
  <c r="AI231" i="1" s="1"/>
  <c r="AH155" i="1"/>
  <c r="AH131" i="1"/>
  <c r="AH85" i="1"/>
  <c r="AJ85" i="1" s="1"/>
  <c r="AH67" i="1"/>
  <c r="AH70" i="1"/>
  <c r="AH94" i="1"/>
  <c r="AH42" i="1"/>
  <c r="AH30" i="1"/>
  <c r="AH224" i="1"/>
  <c r="AI224" i="1" s="1"/>
  <c r="AH172" i="1"/>
  <c r="AH200" i="1"/>
  <c r="AH49" i="1"/>
  <c r="AH103" i="1"/>
  <c r="AH41" i="1"/>
  <c r="AH180" i="1"/>
  <c r="AH188" i="1"/>
  <c r="AH138" i="1"/>
  <c r="AH270" i="1"/>
  <c r="AH76" i="1"/>
  <c r="AH121" i="1"/>
  <c r="AH214" i="1"/>
  <c r="AH143" i="1"/>
  <c r="AH111" i="1"/>
  <c r="AH124" i="1"/>
  <c r="AH195" i="1"/>
  <c r="AH93" i="1"/>
  <c r="AH151" i="1"/>
  <c r="AH117" i="1"/>
  <c r="AH123" i="1"/>
  <c r="AH62" i="1"/>
  <c r="AH88" i="1"/>
  <c r="AJ88" i="1" s="1"/>
  <c r="AH267" i="1"/>
  <c r="AJ267" i="1" s="1"/>
  <c r="AH72" i="1"/>
  <c r="AJ72" i="1" s="1"/>
  <c r="AH73" i="1"/>
  <c r="AJ73" i="1" s="1"/>
  <c r="AH199" i="1"/>
  <c r="AH149" i="1"/>
  <c r="AI149" i="1" s="1"/>
  <c r="AH217" i="1"/>
  <c r="AI217" i="1" s="1"/>
  <c r="AH179" i="1"/>
  <c r="AI179" i="1" s="1"/>
  <c r="AH164" i="1"/>
  <c r="AJ164" i="1" s="1"/>
  <c r="AH125" i="1"/>
  <c r="AJ125" i="1" s="1"/>
  <c r="AH237" i="1"/>
  <c r="AI237" i="1" s="1"/>
  <c r="AH247" i="1"/>
  <c r="AJ247" i="1" s="1"/>
  <c r="AH234" i="1"/>
  <c r="AJ234" i="1" s="1"/>
  <c r="AH251" i="1"/>
  <c r="AJ251" i="1" s="1"/>
  <c r="AH277" i="1"/>
  <c r="AJ277" i="1" s="1"/>
  <c r="AH265" i="1"/>
  <c r="AH140" i="1"/>
  <c r="AI140" i="1" s="1"/>
  <c r="AH225" i="1"/>
  <c r="AJ225" i="1" s="1"/>
  <c r="AH260" i="1"/>
  <c r="AI260" i="1" s="1"/>
  <c r="AH283" i="1"/>
  <c r="AJ283" i="1" s="1"/>
  <c r="AH227" i="1"/>
  <c r="AI227" i="1" s="1"/>
  <c r="AH281" i="1"/>
  <c r="AJ281" i="1" s="1"/>
  <c r="AH254" i="1"/>
  <c r="AI254" i="1" s="1"/>
  <c r="AH255" i="1"/>
  <c r="AJ255" i="1" s="1"/>
  <c r="AH228" i="1"/>
  <c r="AJ228" i="1" s="1"/>
  <c r="AH118" i="1"/>
  <c r="AJ118" i="1" s="1"/>
  <c r="AH250" i="1"/>
  <c r="AJ250" i="1" s="1"/>
  <c r="AH229" i="1"/>
  <c r="AI229" i="1" s="1"/>
  <c r="AH272" i="1"/>
  <c r="AJ272" i="1" s="1"/>
  <c r="AH244" i="1"/>
  <c r="AJ244" i="1" s="1"/>
  <c r="AH279" i="1"/>
  <c r="AI279" i="1" s="1"/>
  <c r="AH271" i="1"/>
  <c r="AI271" i="1" s="1"/>
  <c r="AH276" i="1"/>
  <c r="AI276" i="1" s="1"/>
  <c r="AH236" i="1"/>
  <c r="AJ236" i="1" s="1"/>
  <c r="AH261" i="1"/>
  <c r="AI261" i="1" s="1"/>
  <c r="AH263" i="1"/>
  <c r="AJ263" i="1" s="1"/>
  <c r="AH259" i="1"/>
  <c r="AH75" i="1"/>
  <c r="AJ75" i="1" s="1"/>
  <c r="AH9" i="1"/>
  <c r="AJ9" i="1" s="1"/>
  <c r="AH128" i="1"/>
  <c r="AI128" i="1" s="1"/>
  <c r="AH108" i="1"/>
  <c r="AJ108" i="1" s="1"/>
  <c r="AH185" i="1"/>
  <c r="AJ185" i="1" s="1"/>
  <c r="AH205" i="1"/>
  <c r="AI205" i="1" s="1"/>
  <c r="AH273" i="1"/>
  <c r="AJ273" i="1" s="1"/>
  <c r="AH230" i="1"/>
  <c r="AI230" i="1" s="1"/>
  <c r="AH109" i="1"/>
  <c r="AH69" i="1"/>
  <c r="AH216" i="1"/>
  <c r="AH253" i="1"/>
  <c r="AH82" i="1"/>
  <c r="AH173" i="1"/>
  <c r="AH220" i="1"/>
  <c r="AH51" i="1"/>
  <c r="AH130" i="1"/>
  <c r="AH181" i="1"/>
  <c r="AH133" i="1"/>
  <c r="AH84" i="1"/>
  <c r="AH197" i="1"/>
  <c r="AH215" i="1"/>
  <c r="AH232" i="1"/>
  <c r="AH239" i="1"/>
  <c r="AH233" i="1"/>
  <c r="AI233" i="1" s="1"/>
  <c r="AH153" i="1"/>
  <c r="AH162" i="1"/>
  <c r="AH241" i="1"/>
  <c r="AH107" i="1"/>
  <c r="AH174" i="1"/>
  <c r="AH175" i="1"/>
  <c r="AH206" i="1"/>
  <c r="AH139" i="1"/>
  <c r="AH166" i="1"/>
  <c r="AH257" i="1"/>
  <c r="AH163" i="1"/>
  <c r="AH191" i="1"/>
  <c r="AH203" i="1"/>
  <c r="AH165" i="1"/>
  <c r="AH190" i="1"/>
  <c r="AH207" i="1"/>
  <c r="AH100" i="1"/>
  <c r="AH171" i="1"/>
  <c r="AH110" i="1"/>
  <c r="AH193" i="1"/>
  <c r="AH68" i="1"/>
  <c r="AH189" i="1"/>
  <c r="AH211" i="1"/>
  <c r="AH80" i="1"/>
  <c r="AH275" i="1"/>
  <c r="AH222" i="1"/>
  <c r="AH242" i="1"/>
  <c r="AH91" i="1"/>
  <c r="AH27" i="1"/>
  <c r="AH208" i="1"/>
  <c r="AH141" i="1"/>
  <c r="AH152" i="1"/>
  <c r="AH95" i="1"/>
  <c r="AH132" i="1"/>
  <c r="AI132" i="1" s="1"/>
  <c r="AH204" i="1"/>
  <c r="AI204" i="1" s="1"/>
  <c r="AH115" i="1"/>
  <c r="AH29" i="1"/>
  <c r="AH240" i="1"/>
  <c r="AH134" i="1"/>
  <c r="AH144" i="1"/>
  <c r="AH223" i="1"/>
  <c r="AH218" i="1"/>
  <c r="AH221" i="1"/>
  <c r="AH213" i="1"/>
  <c r="AH90" i="1"/>
  <c r="AH160" i="1"/>
  <c r="AH176" i="1"/>
  <c r="AH159" i="1"/>
  <c r="AH245" i="1"/>
  <c r="AH177" i="1"/>
  <c r="AH178" i="1"/>
  <c r="AH210" i="1"/>
  <c r="AH243" i="1"/>
  <c r="AH212" i="1"/>
  <c r="AH106" i="1"/>
  <c r="AH154" i="1"/>
  <c r="AH58" i="1"/>
  <c r="AH79" i="1"/>
  <c r="AH209" i="1"/>
  <c r="AH201" i="1"/>
  <c r="AH104" i="1"/>
  <c r="AH39" i="1"/>
  <c r="AH43" i="1"/>
  <c r="AH158" i="1"/>
  <c r="AH146" i="1"/>
  <c r="AH101" i="1"/>
  <c r="AH274" i="1"/>
  <c r="AH278" i="1"/>
  <c r="AH269" i="1"/>
  <c r="AH256" i="1"/>
  <c r="AH150" i="1"/>
  <c r="AH127" i="1"/>
  <c r="AH20" i="1"/>
  <c r="AH14" i="1"/>
  <c r="AH13" i="1"/>
  <c r="AH63" i="1"/>
  <c r="AH38" i="1"/>
  <c r="AH22" i="1"/>
  <c r="AH17" i="1"/>
  <c r="AH169" i="1"/>
  <c r="AH6" i="1"/>
  <c r="AH102" i="1"/>
  <c r="AH40" i="1"/>
  <c r="AH129" i="1"/>
  <c r="AH44" i="1"/>
  <c r="AH157" i="1"/>
  <c r="AH57" i="1"/>
  <c r="AH37" i="1"/>
  <c r="AH120" i="1"/>
  <c r="AH59" i="1"/>
  <c r="AH66" i="1"/>
  <c r="AH156" i="1"/>
  <c r="AH264" i="1"/>
  <c r="AH137" i="1"/>
  <c r="AH168" i="1"/>
  <c r="AH170" i="1"/>
  <c r="AH183" i="1"/>
  <c r="AH258" i="1"/>
  <c r="AH248" i="1"/>
  <c r="AH235" i="1"/>
  <c r="AH252" i="1"/>
  <c r="AH226" i="1"/>
  <c r="AH282" i="1"/>
  <c r="AH266" i="1"/>
  <c r="AH284" i="1"/>
  <c r="AH19" i="1"/>
  <c r="AH8" i="1"/>
  <c r="AH147" i="1"/>
  <c r="AH5" i="1"/>
  <c r="AH23" i="1"/>
  <c r="AH24" i="1"/>
  <c r="AH46" i="1"/>
  <c r="AH33" i="1"/>
  <c r="AH167" i="1"/>
  <c r="AH145" i="1"/>
  <c r="AH45" i="1"/>
  <c r="AH136" i="1"/>
  <c r="AH78" i="1"/>
  <c r="AH148" i="1"/>
  <c r="AH187" i="1"/>
  <c r="AH52" i="1"/>
  <c r="AH142" i="1"/>
  <c r="AH268" i="1"/>
  <c r="AH56" i="1"/>
  <c r="AH196" i="1"/>
  <c r="AH238" i="1"/>
  <c r="AH18" i="1"/>
  <c r="AH112" i="1"/>
  <c r="AH182" i="1"/>
  <c r="AH202" i="1"/>
  <c r="AH186" i="1"/>
  <c r="AH184" i="1"/>
  <c r="AH54" i="1"/>
  <c r="AH249" i="1"/>
  <c r="AI249" i="1" s="1"/>
  <c r="AH194" i="1"/>
  <c r="AH262" i="1"/>
  <c r="AH135" i="1"/>
  <c r="AH119" i="1"/>
  <c r="AH21" i="1"/>
  <c r="AH53" i="1"/>
  <c r="AI53" i="1" s="1"/>
  <c r="AH35" i="1"/>
  <c r="AI35" i="1" s="1"/>
  <c r="AH126" i="1"/>
  <c r="AJ126" i="1" s="1"/>
  <c r="AJ122" i="1" l="1"/>
  <c r="AJ89" i="1"/>
  <c r="AI89" i="1"/>
  <c r="AJ96" i="1"/>
  <c r="AI96" i="1"/>
  <c r="AJ48" i="1"/>
  <c r="AI48" i="1"/>
  <c r="AJ64" i="1"/>
  <c r="AI64" i="1"/>
  <c r="AI7" i="1"/>
  <c r="AI246" i="1"/>
  <c r="AI280" i="1"/>
  <c r="AI26" i="1"/>
  <c r="AI198" i="1"/>
  <c r="AJ198" i="1"/>
  <c r="AI74" i="1"/>
  <c r="AJ74" i="1"/>
  <c r="AJ31" i="1"/>
  <c r="AI25" i="1"/>
  <c r="AJ25" i="1"/>
  <c r="AI10" i="1"/>
  <c r="AI71" i="1"/>
  <c r="AJ99" i="1"/>
  <c r="AI99" i="1"/>
  <c r="AI98" i="1"/>
  <c r="AJ98" i="1"/>
  <c r="AJ32" i="1"/>
  <c r="AI32" i="1"/>
  <c r="AI105" i="1"/>
  <c r="AJ105" i="1"/>
  <c r="AJ47" i="1"/>
  <c r="AI47" i="1"/>
  <c r="AJ50" i="1"/>
  <c r="AI50" i="1"/>
  <c r="AJ86" i="1"/>
  <c r="AI86" i="1"/>
  <c r="AJ77" i="1"/>
  <c r="AI77" i="1"/>
  <c r="AJ12" i="1"/>
  <c r="AI92" i="1"/>
  <c r="AJ92" i="1"/>
  <c r="AJ34" i="1"/>
  <c r="AI34" i="1"/>
  <c r="AJ60" i="1"/>
  <c r="AI60" i="1"/>
  <c r="AI83" i="1"/>
  <c r="AJ83" i="1"/>
  <c r="AI15" i="1"/>
  <c r="AJ15" i="1"/>
  <c r="AJ36" i="1"/>
  <c r="AI36" i="1"/>
  <c r="AI11" i="1"/>
  <c r="AJ11" i="1"/>
  <c r="AI65" i="1"/>
  <c r="AJ65" i="1"/>
  <c r="AJ61" i="1"/>
  <c r="AI61" i="1"/>
  <c r="AI16" i="1"/>
  <c r="AJ16" i="1"/>
  <c r="AJ219" i="1"/>
  <c r="AI28" i="1"/>
  <c r="AJ28" i="1"/>
  <c r="AI97" i="1"/>
  <c r="AJ97" i="1"/>
  <c r="AI161" i="1"/>
  <c r="AJ161" i="1"/>
  <c r="AJ87" i="1"/>
  <c r="AI87" i="1"/>
  <c r="AJ114" i="1"/>
  <c r="AJ231" i="1"/>
  <c r="AI131" i="1"/>
  <c r="AJ131" i="1"/>
  <c r="AI155" i="1"/>
  <c r="AJ155" i="1"/>
  <c r="AI85" i="1"/>
  <c r="AI94" i="1"/>
  <c r="AJ94" i="1"/>
  <c r="AI30" i="1"/>
  <c r="AJ30" i="1"/>
  <c r="AI70" i="1"/>
  <c r="AJ70" i="1"/>
  <c r="AJ67" i="1"/>
  <c r="AI67" i="1"/>
  <c r="AJ42" i="1"/>
  <c r="AI42" i="1"/>
  <c r="AJ224" i="1"/>
  <c r="AI172" i="1"/>
  <c r="AJ172" i="1"/>
  <c r="AI270" i="1"/>
  <c r="AJ270" i="1"/>
  <c r="AJ103" i="1"/>
  <c r="AI103" i="1"/>
  <c r="AJ138" i="1"/>
  <c r="AI138" i="1"/>
  <c r="AI180" i="1"/>
  <c r="AJ180" i="1"/>
  <c r="AJ49" i="1"/>
  <c r="AI49" i="1"/>
  <c r="AI41" i="1"/>
  <c r="AJ41" i="1"/>
  <c r="AI188" i="1"/>
  <c r="AJ188" i="1"/>
  <c r="AJ200" i="1"/>
  <c r="AI200" i="1"/>
  <c r="AI195" i="1"/>
  <c r="AJ195" i="1"/>
  <c r="AI214" i="1"/>
  <c r="AJ214" i="1"/>
  <c r="AI151" i="1"/>
  <c r="AJ151" i="1"/>
  <c r="AI124" i="1"/>
  <c r="AJ124" i="1"/>
  <c r="AI117" i="1"/>
  <c r="AJ117" i="1"/>
  <c r="AI143" i="1"/>
  <c r="AJ143" i="1"/>
  <c r="AI123" i="1"/>
  <c r="AJ123" i="1"/>
  <c r="AI76" i="1"/>
  <c r="AJ76" i="1"/>
  <c r="AI93" i="1"/>
  <c r="AJ93" i="1"/>
  <c r="AI121" i="1"/>
  <c r="AJ121" i="1"/>
  <c r="AJ111" i="1"/>
  <c r="AI111" i="1"/>
  <c r="AJ271" i="1"/>
  <c r="AJ279" i="1"/>
  <c r="AJ132" i="1"/>
  <c r="AJ204" i="1"/>
  <c r="AI88" i="1"/>
  <c r="AJ249" i="1"/>
  <c r="AI239" i="1"/>
  <c r="AJ239" i="1"/>
  <c r="AJ233" i="1"/>
  <c r="AI62" i="1"/>
  <c r="AJ62" i="1"/>
  <c r="AJ217" i="1"/>
  <c r="AJ237" i="1"/>
  <c r="AI263" i="1"/>
  <c r="AI73" i="1"/>
  <c r="AI281" i="1"/>
  <c r="AI251" i="1"/>
  <c r="AI267" i="1"/>
  <c r="AI164" i="1"/>
  <c r="AJ229" i="1"/>
  <c r="AI108" i="1"/>
  <c r="AJ149" i="1"/>
  <c r="AI72" i="1"/>
  <c r="AJ205" i="1"/>
  <c r="AJ179" i="1"/>
  <c r="AI225" i="1"/>
  <c r="AJ230" i="1"/>
  <c r="AJ192" i="1"/>
  <c r="AI244" i="1"/>
  <c r="AJ128" i="1"/>
  <c r="AI247" i="1"/>
  <c r="AJ254" i="1"/>
  <c r="AI250" i="1"/>
  <c r="AI236" i="1"/>
  <c r="AI75" i="1"/>
  <c r="AJ260" i="1"/>
  <c r="AI277" i="1"/>
  <c r="AJ261" i="1"/>
  <c r="AJ227" i="1"/>
  <c r="AI118" i="1"/>
  <c r="AI125" i="1"/>
  <c r="AI283" i="1"/>
  <c r="AI228" i="1"/>
  <c r="AJ265" i="1"/>
  <c r="AI265" i="1"/>
  <c r="AJ53" i="1"/>
  <c r="AI272" i="1"/>
  <c r="AI255" i="1"/>
  <c r="AI234" i="1"/>
  <c r="AI9" i="1"/>
  <c r="AI185" i="1"/>
  <c r="AI199" i="1"/>
  <c r="AJ199" i="1"/>
  <c r="AJ140" i="1"/>
  <c r="AJ276" i="1"/>
  <c r="AJ259" i="1"/>
  <c r="AI259" i="1"/>
  <c r="AI126" i="1"/>
  <c r="AI273" i="1"/>
  <c r="AI21" i="1"/>
  <c r="AJ21" i="1"/>
  <c r="AI194" i="1"/>
  <c r="AJ194" i="1"/>
  <c r="AJ202" i="1"/>
  <c r="AI202" i="1"/>
  <c r="AJ187" i="1"/>
  <c r="AI187" i="1"/>
  <c r="AJ5" i="1"/>
  <c r="AI5" i="1"/>
  <c r="AJ8" i="1"/>
  <c r="AI8" i="1"/>
  <c r="AJ156" i="1"/>
  <c r="AI156" i="1"/>
  <c r="AJ22" i="1"/>
  <c r="AI22" i="1"/>
  <c r="AJ14" i="1"/>
  <c r="AI14" i="1"/>
  <c r="AJ58" i="1"/>
  <c r="AI58" i="1"/>
  <c r="AJ141" i="1"/>
  <c r="AI141" i="1"/>
  <c r="AI275" i="1"/>
  <c r="AJ275" i="1"/>
  <c r="AJ166" i="1"/>
  <c r="AI166" i="1"/>
  <c r="AJ241" i="1"/>
  <c r="AI241" i="1"/>
  <c r="AJ215" i="1"/>
  <c r="AI215" i="1"/>
  <c r="AI220" i="1"/>
  <c r="AJ220" i="1"/>
  <c r="AI119" i="1"/>
  <c r="AJ119" i="1"/>
  <c r="AI184" i="1"/>
  <c r="AJ184" i="1"/>
  <c r="AJ196" i="1"/>
  <c r="AI196" i="1"/>
  <c r="AI148" i="1"/>
  <c r="AJ148" i="1"/>
  <c r="AI167" i="1"/>
  <c r="AJ167" i="1"/>
  <c r="AI24" i="1"/>
  <c r="AJ24" i="1"/>
  <c r="AI19" i="1"/>
  <c r="AJ19" i="1"/>
  <c r="AJ66" i="1"/>
  <c r="AI66" i="1"/>
  <c r="AI120" i="1"/>
  <c r="AJ120" i="1"/>
  <c r="AJ44" i="1"/>
  <c r="AI44" i="1"/>
  <c r="AJ256" i="1"/>
  <c r="AI256" i="1"/>
  <c r="AJ154" i="1"/>
  <c r="AI154" i="1"/>
  <c r="AI210" i="1"/>
  <c r="AJ210" i="1"/>
  <c r="AI245" i="1"/>
  <c r="AJ245" i="1"/>
  <c r="AI221" i="1"/>
  <c r="AJ221" i="1"/>
  <c r="AJ95" i="1"/>
  <c r="AI95" i="1"/>
  <c r="AI27" i="1"/>
  <c r="AJ27" i="1"/>
  <c r="AI80" i="1"/>
  <c r="AJ80" i="1"/>
  <c r="AJ189" i="1"/>
  <c r="AI189" i="1"/>
  <c r="AI110" i="1"/>
  <c r="AJ110" i="1"/>
  <c r="AJ207" i="1"/>
  <c r="AI207" i="1"/>
  <c r="AI191" i="1"/>
  <c r="AJ191" i="1"/>
  <c r="AI139" i="1"/>
  <c r="AJ139" i="1"/>
  <c r="AI175" i="1"/>
  <c r="AJ175" i="1"/>
  <c r="AI162" i="1"/>
  <c r="AJ162" i="1"/>
  <c r="AI253" i="1"/>
  <c r="AJ253" i="1"/>
  <c r="AI135" i="1"/>
  <c r="AJ135" i="1"/>
  <c r="AI54" i="1"/>
  <c r="AJ54" i="1"/>
  <c r="AI186" i="1"/>
  <c r="AJ186" i="1"/>
  <c r="AJ112" i="1"/>
  <c r="AI112" i="1"/>
  <c r="AI56" i="1"/>
  <c r="AJ56" i="1"/>
  <c r="AJ142" i="1"/>
  <c r="AI142" i="1"/>
  <c r="AJ78" i="1"/>
  <c r="AI78" i="1"/>
  <c r="AI45" i="1"/>
  <c r="AJ45" i="1"/>
  <c r="AJ33" i="1"/>
  <c r="AI33" i="1"/>
  <c r="AJ46" i="1"/>
  <c r="AI46" i="1"/>
  <c r="AJ23" i="1"/>
  <c r="AI23" i="1"/>
  <c r="AJ147" i="1"/>
  <c r="AI147" i="1"/>
  <c r="AJ284" i="1"/>
  <c r="AI284" i="1"/>
  <c r="AJ282" i="1"/>
  <c r="AI282" i="1"/>
  <c r="AJ235" i="1"/>
  <c r="AI235" i="1"/>
  <c r="AJ183" i="1"/>
  <c r="AI183" i="1"/>
  <c r="AI264" i="1"/>
  <c r="AJ264" i="1"/>
  <c r="AJ157" i="1"/>
  <c r="AI157" i="1"/>
  <c r="AI129" i="1"/>
  <c r="AJ129" i="1"/>
  <c r="AJ6" i="1"/>
  <c r="AI6" i="1"/>
  <c r="AJ169" i="1"/>
  <c r="AI169" i="1"/>
  <c r="AJ17" i="1"/>
  <c r="AI17" i="1"/>
  <c r="AJ127" i="1"/>
  <c r="AI127" i="1"/>
  <c r="AI269" i="1"/>
  <c r="AJ269" i="1"/>
  <c r="AI101" i="1"/>
  <c r="AJ101" i="1"/>
  <c r="AJ39" i="1"/>
  <c r="AI39" i="1"/>
  <c r="AJ209" i="1"/>
  <c r="AI209" i="1"/>
  <c r="AI159" i="1"/>
  <c r="AJ159" i="1"/>
  <c r="AJ90" i="1"/>
  <c r="AI90" i="1"/>
  <c r="AI240" i="1"/>
  <c r="AJ240" i="1"/>
  <c r="AJ115" i="1"/>
  <c r="AI115" i="1"/>
  <c r="AJ208" i="1"/>
  <c r="AI208" i="1"/>
  <c r="AJ91" i="1"/>
  <c r="AI91" i="1"/>
  <c r="AI242" i="1"/>
  <c r="AJ242" i="1"/>
  <c r="AI211" i="1"/>
  <c r="AJ211" i="1"/>
  <c r="AI68" i="1"/>
  <c r="AJ68" i="1"/>
  <c r="AI171" i="1"/>
  <c r="AJ171" i="1"/>
  <c r="AJ190" i="1"/>
  <c r="AI190" i="1"/>
  <c r="AJ163" i="1"/>
  <c r="AI163" i="1"/>
  <c r="AJ174" i="1"/>
  <c r="AI174" i="1"/>
  <c r="AI84" i="1"/>
  <c r="AJ84" i="1"/>
  <c r="AI130" i="1"/>
  <c r="AJ130" i="1"/>
  <c r="AI173" i="1"/>
  <c r="AJ173" i="1"/>
  <c r="AJ216" i="1"/>
  <c r="AI216" i="1"/>
  <c r="AJ238" i="1"/>
  <c r="AI238" i="1"/>
  <c r="AJ268" i="1"/>
  <c r="AI268" i="1"/>
  <c r="AJ145" i="1"/>
  <c r="AI145" i="1"/>
  <c r="AI226" i="1"/>
  <c r="AJ226" i="1"/>
  <c r="AI258" i="1"/>
  <c r="AJ258" i="1"/>
  <c r="AI168" i="1"/>
  <c r="AJ168" i="1"/>
  <c r="AJ137" i="1"/>
  <c r="AI137" i="1"/>
  <c r="AJ59" i="1"/>
  <c r="AI59" i="1"/>
  <c r="AJ57" i="1"/>
  <c r="AI57" i="1"/>
  <c r="AI102" i="1"/>
  <c r="AJ102" i="1"/>
  <c r="AI150" i="1"/>
  <c r="AJ150" i="1"/>
  <c r="AJ43" i="1"/>
  <c r="AI43" i="1"/>
  <c r="AI104" i="1"/>
  <c r="AJ104" i="1"/>
  <c r="AJ212" i="1"/>
  <c r="AI212" i="1"/>
  <c r="AJ177" i="1"/>
  <c r="AI177" i="1"/>
  <c r="AJ160" i="1"/>
  <c r="AI160" i="1"/>
  <c r="AJ223" i="1"/>
  <c r="AI223" i="1"/>
  <c r="AI193" i="1"/>
  <c r="AJ193" i="1"/>
  <c r="AI100" i="1"/>
  <c r="AJ100" i="1"/>
  <c r="AJ203" i="1"/>
  <c r="AI203" i="1"/>
  <c r="AJ153" i="1"/>
  <c r="AI153" i="1"/>
  <c r="AJ181" i="1"/>
  <c r="AI181" i="1"/>
  <c r="AI182" i="1"/>
  <c r="AJ182" i="1"/>
  <c r="AJ136" i="1"/>
  <c r="AI136" i="1"/>
  <c r="AJ20" i="1"/>
  <c r="AI20" i="1"/>
  <c r="AJ274" i="1"/>
  <c r="AI274" i="1"/>
  <c r="AJ201" i="1"/>
  <c r="AI201" i="1"/>
  <c r="AI144" i="1"/>
  <c r="AJ144" i="1"/>
  <c r="AJ35" i="1"/>
  <c r="AI262" i="1"/>
  <c r="AJ262" i="1"/>
  <c r="AI18" i="1"/>
  <c r="AJ18" i="1"/>
  <c r="AI52" i="1"/>
  <c r="AJ52" i="1"/>
  <c r="AI266" i="1"/>
  <c r="AJ266" i="1"/>
  <c r="AJ252" i="1"/>
  <c r="AI252" i="1"/>
  <c r="AI248" i="1"/>
  <c r="AJ248" i="1"/>
  <c r="AJ170" i="1"/>
  <c r="AI170" i="1"/>
  <c r="AI37" i="1"/>
  <c r="AJ37" i="1"/>
  <c r="AJ40" i="1"/>
  <c r="AI40" i="1"/>
  <c r="AI38" i="1"/>
  <c r="AJ38" i="1"/>
  <c r="AJ63" i="1"/>
  <c r="AI63" i="1"/>
  <c r="AJ13" i="1"/>
  <c r="AI13" i="1"/>
  <c r="AJ278" i="1"/>
  <c r="AI278" i="1"/>
  <c r="AI146" i="1"/>
  <c r="AJ146" i="1"/>
  <c r="AJ158" i="1"/>
  <c r="AI158" i="1"/>
  <c r="AJ79" i="1"/>
  <c r="AI79" i="1"/>
  <c r="AJ106" i="1"/>
  <c r="AI106" i="1"/>
  <c r="AI243" i="1"/>
  <c r="AJ243" i="1"/>
  <c r="AI178" i="1"/>
  <c r="AJ178" i="1"/>
  <c r="AI176" i="1"/>
  <c r="AJ176" i="1"/>
  <c r="AI213" i="1"/>
  <c r="AJ213" i="1"/>
  <c r="AI218" i="1"/>
  <c r="AJ218" i="1"/>
  <c r="AI134" i="1"/>
  <c r="AJ134" i="1"/>
  <c r="AI29" i="1"/>
  <c r="AJ29" i="1"/>
  <c r="AJ152" i="1"/>
  <c r="AI152" i="1"/>
  <c r="AJ222" i="1"/>
  <c r="AI222" i="1"/>
  <c r="AI165" i="1"/>
  <c r="AJ165" i="1"/>
  <c r="AJ257" i="1"/>
  <c r="AI257" i="1"/>
  <c r="AI206" i="1"/>
  <c r="AJ206" i="1"/>
  <c r="AJ107" i="1"/>
  <c r="AI107" i="1"/>
  <c r="AI232" i="1"/>
  <c r="AJ232" i="1"/>
  <c r="AI197" i="1"/>
  <c r="AJ197" i="1"/>
  <c r="AI133" i="1"/>
  <c r="AJ133" i="1"/>
  <c r="AI51" i="1"/>
  <c r="AJ51" i="1"/>
  <c r="AI82" i="1"/>
  <c r="AJ82" i="1"/>
  <c r="AI69" i="1"/>
  <c r="AJ69" i="1"/>
  <c r="AI109" i="1"/>
  <c r="AJ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Perez</author>
  </authors>
  <commentList>
    <comment ref="AJ4" authorId="0" shapeId="0" xr:uid="{00000000-0006-0000-0000-000001000000}">
      <text>
        <r>
          <rPr>
            <b/>
            <sz val="9"/>
            <color indexed="81"/>
            <rFont val="Tahoma"/>
            <family val="2"/>
          </rPr>
          <t xml:space="preserve">Q1: </t>
        </r>
        <r>
          <rPr>
            <sz val="9"/>
            <color indexed="81"/>
            <rFont val="Tahoma"/>
            <family val="2"/>
          </rPr>
          <t>Risk Quadrant=High Probability and High Consequence</t>
        </r>
        <r>
          <rPr>
            <b/>
            <sz val="9"/>
            <color indexed="81"/>
            <rFont val="Tahoma"/>
            <family val="2"/>
          </rPr>
          <t xml:space="preserve">
Q2: </t>
        </r>
        <r>
          <rPr>
            <sz val="9"/>
            <color indexed="81"/>
            <rFont val="Tahoma"/>
            <family val="2"/>
          </rPr>
          <t>Second priority=High Probability, low Consequence</t>
        </r>
        <r>
          <rPr>
            <b/>
            <sz val="9"/>
            <color indexed="81"/>
            <rFont val="Tahoma"/>
            <family val="2"/>
          </rPr>
          <t xml:space="preserve">
Q3: </t>
        </r>
        <r>
          <rPr>
            <sz val="9"/>
            <color indexed="81"/>
            <rFont val="Tahoma"/>
            <family val="2"/>
          </rPr>
          <t>Monitoring = Low Probability, High Consequence</t>
        </r>
        <r>
          <rPr>
            <b/>
            <sz val="9"/>
            <color indexed="81"/>
            <rFont val="Tahoma"/>
            <family val="2"/>
          </rPr>
          <t xml:space="preserve">
Q4: </t>
        </r>
        <r>
          <rPr>
            <sz val="9"/>
            <color indexed="81"/>
            <rFont val="Tahoma"/>
            <family val="2"/>
          </rPr>
          <t>Low priority = Low Probability, Low Consequence</t>
        </r>
        <r>
          <rPr>
            <b/>
            <sz val="9"/>
            <color indexed="81"/>
            <rFont val="Tahoma"/>
            <family val="2"/>
          </rPr>
          <t xml:space="preserve">
</t>
        </r>
      </text>
    </comment>
  </commentList>
</comments>
</file>

<file path=xl/sharedStrings.xml><?xml version="1.0" encoding="utf-8"?>
<sst xmlns="http://schemas.openxmlformats.org/spreadsheetml/2006/main" count="1685" uniqueCount="767">
  <si>
    <t>Priority</t>
  </si>
  <si>
    <t>Dept</t>
  </si>
  <si>
    <t>Asset Category</t>
  </si>
  <si>
    <t>Project Title</t>
  </si>
  <si>
    <t>Project Description / Justification</t>
  </si>
  <si>
    <t>Comments</t>
  </si>
  <si>
    <t>Schools</t>
  </si>
  <si>
    <t>Building</t>
  </si>
  <si>
    <t>Public Buildings</t>
  </si>
  <si>
    <t>DPW/ Storm</t>
  </si>
  <si>
    <t>Storm</t>
  </si>
  <si>
    <t>Most building systems are beyond their useful life and academic program spaces do not meet current State Ed Dept standards.  MSBA 30%. First year cost is Carr Design and Angier feasibility study, as required for MSBA funding.  2nd year cost is Carr construction and Angier full design.  3rd year cost is Angier construction.  Cost must also include cost to move to Carr and back to Angier.  Remove and replace leaking gym roof.  Remove greenhouse roofing and replace with new EPDM roof.  Install new gutters and downspouts ($280,874).</t>
  </si>
  <si>
    <t>Fire Dept</t>
  </si>
  <si>
    <r>
      <t xml:space="preserve">Station is in major need of repair however due to magnitude of funding needed and major design considerations in the N. Centre triangle,  proposal is to move to next Fire Station while the optimal design is attained.  This could take 3-4 yrs in working with the Economic Development Committee and Community.  </t>
    </r>
    <r>
      <rPr>
        <sz val="8"/>
        <color rgb="FFFF0000"/>
        <rFont val="Calibri"/>
        <family val="2"/>
        <scheme val="minor"/>
      </rPr>
      <t>May need to remove underground tank prior to renovation project ($15K). Beyond useful life and venting issues.  If project is further delayed , windows and roof will require work.</t>
    </r>
  </si>
  <si>
    <t>DPW/ Water</t>
  </si>
  <si>
    <t>Water</t>
  </si>
  <si>
    <t>Pipe condition will continue to deteriorate over time potentially impacting public health, water quality, fire protection and pipe integrity</t>
  </si>
  <si>
    <t>DPW/ Sewer</t>
  </si>
  <si>
    <t>Parks/Rec</t>
  </si>
  <si>
    <t>Sewer</t>
  </si>
  <si>
    <t>DPW</t>
  </si>
  <si>
    <t>DPW - Replace Street Sweeper</t>
  </si>
  <si>
    <t>City needs 7 sweepers (6 operational, 1 spare) to complete timely sweeps in Spring and Fall, plus additional sweeps throughout year.  City currently has 6 sweepers.  Expensive to repair.</t>
  </si>
  <si>
    <t>Health</t>
  </si>
  <si>
    <t>Becoming too expensive to keep on the road as first line piece. Needs to replace spare ladder truck so that spare can be taken off the road</t>
  </si>
  <si>
    <t>IT</t>
  </si>
  <si>
    <t>Library</t>
  </si>
  <si>
    <t>Newton Free Library - Generator Replacement</t>
  </si>
  <si>
    <t>Senior Center</t>
  </si>
  <si>
    <t>Approved for CDBG funding by the City's Commission on Disability.</t>
  </si>
  <si>
    <t>City Hall - Exterior Windows &amp; Doors</t>
  </si>
  <si>
    <t>Restore/Replace windows.  Repair, scrape, prepare surface and paint all exterior wood windows including double hung windows (143 ea), arched wood windows (36ea) and roof eyebrow wood windows (4ea).  Repair rotted sills and jambs (4ea) and replace broken screens.</t>
  </si>
  <si>
    <t>Remove exterior right front side single hung uninsulated panel door (1ea) and install historically approved weather tight door (1ea). Recaulk rear right panel door(1ea). Remove and restore historical front and rear pair of doors(2ea). Install with new approved historical door hardware and weather stripping. Make ADA door opening device fully functioning at rear entrance(1EA)•Remove all 1st, 2nd, bsmt floor and dormer ends windows (49ea). Restore historical windows.  Replace non historical windows with new historical windows. Caulk and seal all window. Install egree style window(1ea)for fire escape egress.</t>
  </si>
  <si>
    <t xml:space="preserve">City needs large construction trucks to haul materials and plow/salt for snow and ice control.  </t>
  </si>
  <si>
    <t>Lincoln Eliot School - Mechanical Upgrades</t>
  </si>
  <si>
    <t>Jackson Homestead</t>
  </si>
  <si>
    <t>Fire Station #1, Newton Corner - Replace Emergency Generator</t>
  </si>
  <si>
    <t>Replace emergency electrical generator (30kW, 208Y/120V, 3-Phase, 4-Wire) and transfer switch which are at the end of their useful lives.</t>
  </si>
  <si>
    <t>Replace ground floor electrical panelboards with (3) new 42 circuit panel boards.•Replace the two main electric services feeding the building.•Install a fire/smoke alarm system with audible alarms to meet ADA requirements in all areas of the building, in particular, the toilets and sleeping areas.  The system should be coupled with a building security system which currently does not exist.•Replace incandecent/CFL fixtures and consider a high efficiency LED where possible to improve energy efficiency.•Replace existing T-8 flourescent lighting fixtures with Super T-8 flourescent fixtures with occupancy sensors to improve energy efficiency.•Add (6) All-weather GFI to outside of building.•Expand kitchen circuitry to dedicated circuits to the areas hit by blown fuses.•Replace emergency electrical generator (30kW, 208Y/120V, 3-Phase, 4-Wire) and transfer switch which are at the end of their useful lives.</t>
  </si>
  <si>
    <t>Repair, upgrade finishes, in all bathrooms(10ea =2500sf)</t>
  </si>
  <si>
    <t>Newton Free Library - Mechanical Upgrades</t>
  </si>
  <si>
    <t>Ed Center - Electrical Upgrades</t>
  </si>
  <si>
    <t>Police</t>
  </si>
  <si>
    <t>Police Headquarters - Mechanical Upgrades</t>
  </si>
  <si>
    <t>Replace Roof Top Mechanical equipment that is beyond its useful life.  Requires a lot of maintenance and service calls</t>
  </si>
  <si>
    <t xml:space="preserve">City Hall - Envelope - Masonry Repairs  </t>
  </si>
  <si>
    <t>moderate body rot</t>
  </si>
  <si>
    <t>Walnut Street (Homer Street to Route 9) - Final Design</t>
  </si>
  <si>
    <t>Federal TIP funding pays for construction only.  Design must be funded by municipality.</t>
  </si>
  <si>
    <t>Bigelow School - Mechanical Upgrades</t>
  </si>
  <si>
    <t>Fire Station #2, West Newton - Replace Ext. Windows &amp; Doors</t>
  </si>
  <si>
    <t>Remove existing wood windows and replace with new energy efficient insulated windows (40ea).</t>
  </si>
  <si>
    <t>Implement recommendations from 2007 Study of the Memorial Stairs.</t>
  </si>
  <si>
    <t>Field sees intense use throughout the year and serves as the Pop Warner Football Field for the City.  Due to the poor condition of the filed and drainage issues the field use is severely limited.</t>
  </si>
  <si>
    <r>
      <t xml:space="preserve">Replace boiler with a new with high efficiency gas-fired hot water boiler, direct vent.•Replace exhaust fans in janitor's closet , kitchen range hood, and in drying room.  Install code-compliant exhaust fan in chemical storage room.  Replace controller for fan in 1rst floor bathroom.•Replace hot water baseboard heating units, unit heaters in the garage (5ea) and unit heaters in the shop (2ea).•Replace thermostat control with new baseboard heating units.  </t>
    </r>
    <r>
      <rPr>
        <sz val="8"/>
        <color rgb="FFFF0000"/>
        <rFont val="Calibri"/>
        <family val="2"/>
        <scheme val="minor"/>
      </rPr>
      <t>Remove USTs.</t>
    </r>
  </si>
  <si>
    <t>FA Day School - Replace Boilers</t>
  </si>
  <si>
    <t>Repoint lintels and sills in conjunction with repointing veneer (300 lf).•Repair and repoint brick veneer (50%=5500sf).•Repair overhead door ramp and railings (500 sf). Repair ramp, retaining wall and railings (300 sf). Replace all exterior doors and hardware(4 single hung and 4 double hung doors).•Replace all exterior overhead doors (8x8 1ea and 10x10 2ea).•Replace double hung exterior windows (74 ea) with historically accurate units. Replace slate roof (8400sf).•Replace asphalt built-up roofing at the concrete low roof area (300 s.f.).•Repair cupola roofing (1ea).</t>
  </si>
  <si>
    <t>Mason Rice School - Mechanical Upgrades</t>
  </si>
  <si>
    <t>Apparatus replacement plan.Engine 1 will become our number one spare and replace spare Engine 12, a 1992 pumper Engine 12 gets taken out of service</t>
  </si>
  <si>
    <t>Pelligrini Park Field House - Mechanical Upgrades</t>
  </si>
  <si>
    <r>
      <t xml:space="preserve">Provide insulation for steam and condensate piping.•Replace wall mounted exhaust fan in gym with a roof mounted centrifugal fan with a make-up air unit.•Replace boiler induced draft fan with a new fan unit.•Replace shower room fan with a new unit.•Provide new heating controls with new fan and heaters.•Replace heater condensate pump.•Replace units with 2 new unit heaters. Other alternatives for heating of gym include radiant heaters or a make-up air system with a heating section.•Replace boiler with new energy efficient boiler and replace combustion air and breeching. </t>
    </r>
    <r>
      <rPr>
        <sz val="8"/>
        <color rgb="FFFF0000"/>
        <rFont val="Calibri"/>
        <family val="2"/>
        <scheme val="minor"/>
      </rPr>
      <t xml:space="preserve"> Remove UST and convert to gas. Should this be $75,000 only?</t>
    </r>
  </si>
  <si>
    <t>Address structural crack in CMU wall first.  Repoint/ repair exterior masonry.</t>
  </si>
  <si>
    <t>Replace kitchen cabinetry and counter tops (30lf).•Repair cracks in first floor concrete(10%=700sf).•S crape, prepare surface, and repaint first floor concrete pan ceiling (6800sf).•Replace VCT flooring on second floor (6800sf).•Repair/replace firepole trap doors as required(6ea).•Repair structural cracks in CMU walls (2%=300sf).Clean brick veneer at rear downspout area and infill around thru wall pipe penetrations (200sf).•Repoint overhead door masonry lintel (14x14 door) (20lf).•Scrape, prepare surface and repaint exterior wood trim (1000sf)</t>
  </si>
  <si>
    <t>Existing tennis courts at this site have deteriorated to the point where they may no longer be usable for safe tennis play.</t>
  </si>
  <si>
    <t>To comply with federal ADA requirements and to provide safe, accessible means to and from City sidewalks.  Budgeted levels provided by Planning Department.</t>
  </si>
  <si>
    <t>Brown School - Mechanical Upgrades</t>
  </si>
  <si>
    <t>Horace Mann School - Replace Roof</t>
  </si>
  <si>
    <t>Crafts St DPW Operations (Stable) - Interior Renovation</t>
  </si>
  <si>
    <t>Design and Construction for renovated interior including mechanical, electrical, plumbing, and accessibility upgrades.</t>
  </si>
  <si>
    <t>Upgrade interior lighting to super T-8 fixtures.•Remove abandonned emergency generator and install a new code-compliant emergency generator and new transfer switch.•Add additional duplex receptacle to each office location (~10 locations) to address extensive use of power strips.•Rewire entire Telcom infrastructure to BICSI code.  Secure all loose and unsupported electrical  wiring in the attic.•Upgrade building electrical system by replacing 100% of the electrical conduit (GRC and FMC).•Finish TR communications wiring by securing the cabling to bring up to BICSI code. Coordinate with an IT plan to bring the building up to BICSI standards.•Replace main electrical service.•Replace existing exterior lighting (10 Units) and add two more to parking area to improve on light levels in the parking lot.•Replace panelboard electrical service.  (Generator number too high and telecom and IT)Reconstruct interior ramp to be code compliant;  Install pipe rail to existing railing and install pipe rail to wall.   Ensure railings are between 1.25” and 1.50” in diameter and one set mounted between 34” and 38” AFF and the lower set mounted between 18” and 20” AFF;  interior accessible route exceeds 5 percent slope (6.6 percent).  Install handrails on both sides.•In the mens, multi-user toilet room: install an accessible stall that is at minimum 60” wide and allows minimum clear space of 42” between the rim of the toilet and the door opening; Insulate pipes to protect against contact; Install an accessible lavatory and operable faucets (lever or automatic); Reposition the mirror or install a full length mirror;  Lower the urinal and replace the flush valve.•Install a concrete ramp at the building entrance from the parking lot; Replace exterior door knobs with hardware that is operable without tight grasping, pinching or twisting;  Attach pipe railings to wall at ramp.  Ensure railings are between 1.25” and 1.50” in diameter and one set mounted between 34” and 38” AFF and the lower set mounted between 18” and 20” AFF of ramp; Install handrail extensions; Install a concrete ramp at the accessible entrance;  Repair railings on one side of accessible entrance and install railings on the other side.   Ensure railings are between 1.25” and 1.50” in diameter and one set mounted between 34” and 38” AFF and the lower set mounted between 18” and 20” AFF.•Relocate time clock so that controls are greater than 54" AFF for side reach at 56" AFF;  Provide an accessible table in the break area;  Remount sink in kitchen less than 34” AFF.  Provide clear floor space at sink with an opening for knee space that is min. 30” wide by 27” high by 19” deep; Install door hardware that is operable (lever type); Install tactile and Braille signage adjacent to latch side of door.Replace all heating piping with new code-compliant piping. Insulate all hot water supply and return piping.•Replace cast iron and electric baseboard heaters in office areas with new energy efficient hot water baseboard.  Replace existing unit heaters in garage (2ea), basement (1ea) and work shop (1ea) with new energy efficient hot water unit heaters.•Replace boiler with new gas-fired high efficiency boiler. Provide new hydronic accessories and controls.•Provide fan and make-up air damper at 1.5 CFM/sqft. for woodshop and garage.  Provide CO/NOx detection system for control of fan and dampers in garage.  Provide fans at 75 CFM per toliet/urinal in basement bathrooms.•Provide digital programmable thermostat with new heating system. Repair, scrape, prepare surface and repaint linear wood ceiling (2100sf).•Repair &amp; replace acoustical ceilings(30%=1500sf).•Refurbish basement bathrooms, toilet accessories, paint floor, misc(1ea)•Remodel basement break areas &amp; kitchenette (1ls).•Repair concrete floors (7500sf).•Repair Drywall (20%=1200sf).•Remove remaining portions of plaster lath ceiling, repair structure and install new fire rated drywall ceiling (5100sf). Replace basement single hung doors(5ea).Repair stair treads(30r). Install new railings (20lf). Remove petroleum products and remove or abandon oil tank. Boiler should be switched to gas-fired.•Insulate hot and cold water piping.</t>
  </si>
  <si>
    <r>
      <t xml:space="preserve">Repair concrete at the fire range ceiling. Rebuild tunnel ceiling, waterproof, etc. Repair Interior CMU and concrete walls. </t>
    </r>
    <r>
      <rPr>
        <sz val="8"/>
        <rFont val="Calibri"/>
        <family val="2"/>
        <scheme val="minor"/>
      </rPr>
      <t>Replace carpet flooring that is a tripping hazard.</t>
    </r>
  </si>
  <si>
    <r>
      <t>Repair concrete at the fire range ceiling (1700sf). Rebuild tunnel ceiling, waterproof, etc (200sf).•Repair Interior CMU walls as required(5%=800sf).•Repair Interior drywall as required(5%=600sf).•Repair Interior concrete walls as required(50%=1000sf).•</t>
    </r>
    <r>
      <rPr>
        <sz val="8"/>
        <color rgb="FFFF0000"/>
        <rFont val="Calibri"/>
        <family val="2"/>
        <scheme val="minor"/>
      </rPr>
      <t>Repair carpet floor as required(40%=3000sf)</t>
    </r>
    <r>
      <rPr>
        <sz val="8"/>
        <color theme="1"/>
        <rFont val="Calibri"/>
        <family val="2"/>
        <scheme val="minor"/>
      </rPr>
      <t>•Repair plaster ceiling (50%=2000sf).</t>
    </r>
  </si>
  <si>
    <t>Crafts Street Garage - Mechanical Upgrades</t>
  </si>
  <si>
    <r>
      <t xml:space="preserve">Replace paint shop fan with a new fan unit and replace filters for make-up air.•Replace severely corroded duct work in washer building with insulated aluminum ductwork.•Replace mechanical room unit heater with high efficiency, direct vent condensing gas fired unit heater.•Provide gas detection system for garage. Interlock to new exhaust fans.•Provide gas detection system for weld shop. Interlock to new exhaust fans and wire mesh screens for fans.•Replace weld hood and associated ductwork in the welding shop.•Replace welding shop unit heater, breeching and fan.•Provide gas detection system for body shop. Interlock to new exhaust fans.•Replace washer building electric heater with a heater suitable for a very corrosive environment.•Replace washer building gas fired heater with a heater suitable for a very corrosive environment.•Replace (2) garage storage unit heaters with smaller gas-fired unit heaters that are appropriately sized for the space.•Replace sign shop unit heater with high efficiency, direct vent condensing gas fired unit heater.•Replace electric cabinet unit heater in garage hallway with a new electric cabinet unit heater.  </t>
    </r>
    <r>
      <rPr>
        <sz val="8"/>
        <color rgb="FFFF0000"/>
        <rFont val="Calibri"/>
        <family val="2"/>
        <scheme val="minor"/>
      </rPr>
      <t xml:space="preserve">Some RTU work addressed in current project  </t>
    </r>
    <r>
      <rPr>
        <sz val="8"/>
        <rFont val="Calibri"/>
        <family val="2"/>
        <scheme val="minor"/>
      </rPr>
      <t xml:space="preserve">Replace pressure washer pump with a new pump. </t>
    </r>
    <r>
      <rPr>
        <sz val="8"/>
        <color rgb="FFFF0000"/>
        <rFont val="Calibri"/>
        <family val="2"/>
        <scheme val="minor"/>
      </rPr>
      <t>Replace rest of RTUS and remaining interior ventilation that was not covered in the stimulus project</t>
    </r>
  </si>
  <si>
    <t>Pelligrini Park Field House - Accessibility/ Site Upgrades</t>
  </si>
  <si>
    <t>Provide accessible toilets within footprints of existing mens and womens rooms.•Extend sloped corridor floor near gym entrance to meet minimum ADA slope requirements;  Modify doorway to kitchen to be 32" wide; Replace door knobs at side and basement entrances with hardware that is operable without tight grasping, pinching or twisting (lever type); Rebuild a 36” minimum section of kitchen counter to be less than 34” AFF; Remount kitchen sink less than 34” AFF.  Provide clear floor space at sink with an opening for knee space that is min. 30” wide by 27” high by 19” deep;  Install a hi-low drinking fountain.•Provide an accessible outdoor table;  Install a hi-lo drinking fountain;  Resurface and re-grade existing path to play area.</t>
  </si>
  <si>
    <t>Library Book Autocheckin/ Sorting System</t>
  </si>
  <si>
    <t>Almost 2 million library materials/yr checked in automatically and sorted by material type</t>
  </si>
  <si>
    <t>Circulation rising, limited staff, maintain staff efficiency, dovetails with library's Express Lane workstations (self checkout)/ repetitive stress injuries for staff, inefficiency, poor customer service, slow turnaround of library materials.  $15-20K/yr for maintenance</t>
  </si>
  <si>
    <t>30K miles</t>
  </si>
  <si>
    <t>Fire Station #2, West Newton - Replace Emergency Generator</t>
  </si>
  <si>
    <t>City Hall - Mechanical Upgrades</t>
  </si>
  <si>
    <r>
      <t xml:space="preserve">Replace American Standard condensing unit which is very corroded.  Provide cover for units in winter.•Replace Dayton condensing unit which is very corroded.  Provide cover for units in winter.•Provide insulation for all supply ductwork and clean all ductwork.•Replace all exhaust ductwork.•Replace two floor mounted centifugal fans in attic for bathrooms (2400CFM)•Replace two horizontal fan coil units in the attic.•Replace floor mounted centrifugal fan in attic for central exhaust( 1ea).•Replace floor mounted centrifugal fan in attic for Memorial Hall (1ea).•Replace floor mounted centrifugal fan in cupola for cafteria (2ea).•Replace all ceiling fans with energy efficient fans. Replace damaged grilles (20%).•Replace all bathroom fans with new energy efficient fans.  </t>
    </r>
    <r>
      <rPr>
        <sz val="8"/>
        <color rgb="FFFF0000"/>
        <rFont val="Calibri"/>
        <family val="2"/>
        <scheme val="minor"/>
      </rPr>
      <t>Add mini-split A/C units in conjunction with window restoration /replacement ($100K). Maintenance items removed from list.</t>
    </r>
  </si>
  <si>
    <t>Police Annex - Mechanical Upgrades</t>
  </si>
  <si>
    <t xml:space="preserve">Replace baseboard heaters in bathrooms.  Provide proper ventilation/exhaust in locker rooms and bathrooms. Replace boiler with new high efficiency gas-fired boiler.  </t>
  </si>
  <si>
    <t>Provide exhaust fans at 75 cfm per fixture in 2nd floor bathrooms.•Replace baseboard heaters in bathrooms with new baseboard with aluminum or corrosion resistant covers.•Provide ventilation/exhaust in locker rooms per ASHRAE 62.1.•Replace first floor bathroom fans with new fans. Existing controls can remain.•Replace the boiler with a new high efficiency gas-fired boiler system.  Remove water on the floor in the boiler room.•Provide insulation for all hot water piping. Replace water fountain.</t>
  </si>
  <si>
    <t>Oak Hill School - Mechanical Upgrades - Roof Top Units and Distribution System</t>
  </si>
  <si>
    <t>Kennard Estate-Accessibility/Site</t>
  </si>
  <si>
    <t>Rebuild landing outside of main entrance and install a ramp to make the entrance accessible; Repair stair nosings and replace handrails on both exterior stair.•Provide accessible parking spaces with signage.• Does not include Installing an elevator to provide vertical access to the second floor.</t>
  </si>
  <si>
    <t>Elliot Street Sand_Salt Shed - Structural and Envelope Repairs</t>
  </si>
  <si>
    <t>Replace 5-10 damaged wood truss members and braces.•Redistribute salt such that the maximum stacked height is not exceeded, using the yellow indicator line painted on the walls; add additional brace supports at ends of the building to prevent walls from buckling; reinforce bracing timbers as they split. Seal exterior exposed push wall plywood to prevent further deterioration (4200sf). Paint steel gussets with corrosive resistant paint throughout trusses  (9800sf). Scrape and repaint rake trim (300lf).•Repair front entry dormer (600sf). Add new support at the bowing bays (located at end walls) (2ea). Repair wood buttresses that support the push wall (5 ls).•Remove the salt stock pile. Extend push wall another 10' high to keep the weight of the salt off the exterior wall structure (1000sf).</t>
  </si>
  <si>
    <t>Jackson Homestead - Exterior Windows &amp; Doors</t>
  </si>
  <si>
    <r>
      <t xml:space="preserve">Replace exterior single hung door located right behind garage double doors with new door and pitch grade away from doors for proper drainage(1ea)•Repair attached shed doors that are located in the right rear of the building (1pr)•Replace existing windows with new historical window units(35ea). Install missing wood shutter (1ea).•Replace existing fixed single pane windows with new historical insulated window units(2ea).•Replace existing basement hopper windows with new historical window units(4ea).•Remove AC units and install new or existing authentic wood storm windows (2ea).•Replace wood 1/2 round windows single pane glass with historical insulated units(2ea). Replace wood transom window with historical window unit(1ea). </t>
    </r>
    <r>
      <rPr>
        <sz val="8"/>
        <color rgb="FFFF0000"/>
        <rFont val="Calibri"/>
        <family val="2"/>
        <scheme val="minor"/>
      </rPr>
      <t xml:space="preserve"> Some items addressed in archive project.</t>
    </r>
  </si>
  <si>
    <t>Elliot St. Operations Building - Building Envelope</t>
  </si>
  <si>
    <t>Repair foundation walls and rebuild ramp foundation walls. Repair/replace areaway retaining wall. Repair cracks; repoint mortar joints.</t>
  </si>
  <si>
    <t>Repaint wood rafter ends (200lf) and CMU foundation walls (3700sf).•Repair foundation CMU wall as required (30% =700sf).  Rebuild ramp foundation walls(1500sf).•Remove and install new stair handrails at front entry stairs (30lf). Remove areaway retaining wall and repair/replace wall (150sf). Install new handrails (50lf) at areaway stairs and clean out areaway drain (1ea).•Repair roof deck as required when repairing foundation walls (1100sf).</t>
  </si>
  <si>
    <t>Ward School - Accessibility Improvements</t>
  </si>
  <si>
    <t>Burr Park Field House - Mechanical/Electrical Upgrades</t>
  </si>
  <si>
    <t>Replace steam boiler, radiators, venting and piping.  Replace exterior lighting to improve safety and security. Upgrade interior lighting and original wiring and conduit.</t>
  </si>
  <si>
    <t>Replace two radiators downstairs with new wall mounted finned tube radiators.•Provide new digital programmable thermostat with new boiler system.•Replace boiler with new steam boiler. Provide new venting and combustion air system.•Replace piping and insulation with boiler replacement.Replace exterior lighting (10 wall pack units) to improve safety &amp; security.•Replace (40) GFI interior receptacles which are corroded.•Upgrade interior lighting to T-5 or Super T-8.•Replace wiring and conduit orginal to building (70% of total wiring)</t>
  </si>
  <si>
    <t>Replace gym floor with new wood flooring.  Replace damaged carpeting and VCT flooring.</t>
  </si>
  <si>
    <t>Replace gym floor with new wood flooring (2900sf).•Replace damaged areas of carpeting (50%=2000sf).•Repair/replace damaged areas of VCT (20%=1100sf)</t>
  </si>
  <si>
    <t>Bowen School - Mechanical Upgrades</t>
  </si>
  <si>
    <t>Remove and replace non-functioning radiators and associated piping in the basement area.•Provide 5 gallon shot feeder with piping for chemical treatment for hot water system to reduce long-term corrosion of the heating pipes.•Replace horizontal hot water unit heaters in lunch room (3ea), meter shop (1ea of 2), fire pump room (1ea), and mechancial room (1ea).  Remove (3) hot water unit heaters in garage and replace with (3) gas-fired unit heaters.  Remove and replace piping and (6) hot water unit heaters in the basement storage area (6 ea) .•Replace office wall-mounted air handler unit with a new new unit (1 ea).•Install CO/NOx detection system for garage so that the detection of gas energizes the existing exhaust fans (4ea).•Install backdraft damper on the fans. Regrease bearings to reduce noise (2ea).•Replace heating pumps which are nearing the end of their life expectancy (2ea).</t>
  </si>
  <si>
    <t>Ward School - Mechanical Upgrades</t>
  </si>
  <si>
    <t>Police Garage - Windows &amp; Doors and Building Envelope</t>
  </si>
  <si>
    <t>Replace overhead doors and glass block windows.  Replace door to planning/research and glass block wall. Repair masonry veneer exterior. Repair step cracking in CMU walls.</t>
  </si>
  <si>
    <t>Remove and replace OH doors (3ea) or infill opening with new wall system(216sf ea).•Replace all glass block windows with aluminum window units (11ea; 270sf).•Remove and replace door (1ea) to planning and research including removal and replacement of glass block wall (bad condition) (300sf); Remove doors and infill with CMU or if necessary replace doors and add egress landings and stairs(2ls).Scrape, paint exposed sections of lintels(250lf).•Repair corners of masonry veneer exterior and interior faces(10%; 650sf). Infill wall openings (1ea=1sf) and gaps around pipes penetrations (4ea).Repair cracking walls at corners of the building.•Repair step cracking in CMU walls (~100 LF) in evidence area.</t>
  </si>
  <si>
    <t>Elliot St. Garage - New Windows and Doors and Envelope Repairs</t>
  </si>
  <si>
    <t>Replace metal windows and security screens.  Remove and replace overhead doors with new insulated overhead doors. Repair exterior brick and at steel window lintels.</t>
  </si>
  <si>
    <t>Replace with insulated translucent panels.   Repair exterior brick cracks, chips and spalls(50% = 3300sf).Remove vegetation from left masonry end wall of garages (700sf).  Repair cracked brick masonry at ends of steel window lintels (50 sf).•Repair, scrape, prepare surface and repaint exposed steel lintels (250lf).Replace damaged roof panels.</t>
  </si>
  <si>
    <t>Pelligrini Park Field House - Exterior Windows &amp; Doors</t>
  </si>
  <si>
    <t>Replace all upper level fixed single pane metal glass windows and security screens and replace with new insulated thermally broken window units with new security screens (16ea).  Remove all lower level fixed single pane metal glass units and security screens and replace with new thermally broken window units and new security screens (12ea).</t>
  </si>
  <si>
    <t>Pelligrini Park Field House - Replace Roofs</t>
  </si>
  <si>
    <t>Remove and replace lower roofing membrane,  gutters and downspouts (2700sf).•Replace upper Gym membrane roof with a new EPDM roof.</t>
  </si>
  <si>
    <t>Replace Halloran Field Athletic Lighting (Albemarle)</t>
  </si>
  <si>
    <t>Replace the athletic lighting at the City's premier athletic complex</t>
  </si>
  <si>
    <t xml:space="preserve">The existing lighting system at Halloran is 30 years old and has experienced several major outages in the last five years.  As the City's premier athletic complex the site serves thousands of individuals and hosts many major sports leagues.   Replacing these lights will save on the annual repair costs as well as provide reduced energy costs and provide better quality lighting.  </t>
  </si>
  <si>
    <t>Commonwealth Avenue (Route 128 to Washington Street)  - Preliminary and Final Design</t>
  </si>
  <si>
    <t>Washington Street (Commonwealth Avenue to Centre Street)  - Preliminary and Final Design</t>
  </si>
  <si>
    <t>Bowen School - Electrical Upgrades</t>
  </si>
  <si>
    <t>Replace electrical panels and sub-panels in original buildings.</t>
  </si>
  <si>
    <t>Emerson Community Center - Electrical Upgrades</t>
  </si>
  <si>
    <t>Replace switchboard and increase service size to meet electrical demands.  Replace original overloaded electrical panels. Install emergency audiovisual horn strobes.</t>
  </si>
  <si>
    <t>Design a Telecommunications Room (TR) to EIA-568, BICSI, and National Electric Code (NEC) standards.•Replace switchboard and increase service size if needed to meet electrical demands.•Replace original building electrical panels on ground floor which are full and several are overloaded.•Install combination audiovisual horn strobes and beacons as required per NFPA 72-2007.</t>
  </si>
  <si>
    <t>Ward School - Electrical Upgrades</t>
  </si>
  <si>
    <t>Upgrade audible alarm and strobe for fire alarm system to ADA compliance.•Upgrade and replace egress lighting and signage per code•Replace all wiring in building.•Replace approximately 25% of existing interior power outlets and add electrical power outlets per code.•Replace all interior lighting with super T-8 flourescent fixtures to improve lighting levels and energy efficiency.•Build out a dedicated enclosed TR area to prevent accidental damage of components.•Replace main service.  Test copper lines, identify runs, reattach and/or replace panel covers.•Rewire complex and replace all conduit.•Replace electrical panels. Test copper lines, identify runs, reattach/replace panel covers.•Replace 100% of exterior electrical power outlets and add additional exterior outlets per code.</t>
  </si>
  <si>
    <t>City Hall - Roof Repair/Replacement</t>
  </si>
  <si>
    <t>Install new EPDM membrane roof (6000sf) on main flat roofs.  Replace membrane roofing on inside upper floor of large cupola.  Replace exit door from cupola to exterior walk-around and add closer and locking mechanisms. Repair roof flashing and repair/replace gutters (700sf) on balcony roofs.•Replace metal roofing and flashing as required at several small sloping metal roofs  (200sf).</t>
  </si>
  <si>
    <t>Replace Fire Dept 1994 Cube Van W-4</t>
  </si>
  <si>
    <t>Replace 1994 Ford Cube Van (85,000 miles) for Wires Division which is responsible for city fiber optic, fire alrams, radio and phone systems.</t>
  </si>
  <si>
    <t>Wires Division vehicle responsible for city fiber optic, fire alram circuits, radio and phone system. Truck is specked out to be equipped for fiber optic splicing, an on board generator, racks for storage specialized lighting and recpeticles.</t>
  </si>
  <si>
    <t>Replace with vactor</t>
  </si>
  <si>
    <t>45K miles; moderate body rot</t>
  </si>
  <si>
    <t>Elliot St. Garage - Electrical Upgrades</t>
  </si>
  <si>
    <t>Upgrade and replace egress lighting (est. 10 units) and EXIT (est. 10 units) LED signage per code.•Build out a dedicated secured 8'x'10 TR area to prevent accidental damage of Telecom components.•Upgrade audible fire alarm and strobe to ADA compliance.•Replace all interior electrical power receptacles (30 ea).•Replace all electrical conduit and rewire entire building.•Replace (2) electrical panels.•Replace main electrical service.•Replace 9,000sq-ft interior lighting with super T-8 fluorescent fixtures to improve lighting levels and energy efficiency.</t>
  </si>
  <si>
    <t>Lincoln Eliot School - Replace Windows and Doors</t>
  </si>
  <si>
    <t>Replace windows in 1965 addition and 1975 clerestory windows</t>
  </si>
  <si>
    <t>Lower Falls Community Center - Electrical Upgrades</t>
  </si>
  <si>
    <t>Add additional electrical duplex receptacle to each office location (~20 locations) to address extensive use of power strips and extension cords.•Finish TR communications wiring by securing the cabling to bring up to BICSI code.  Coordinate with an IT plan to bring the building up to BICSI standards.•Rewire entire Telcom infrastructure to BICSI code.  Strap or wire wrap (to code) all loose and unsecured electrical utilities to the building.•Update fire alarm horn strobes and beacons to be ADA-compliant.</t>
  </si>
  <si>
    <t>Front stair railing collapsing; catch basin at entrance plaza, parking area, make accessible route</t>
  </si>
  <si>
    <t>Underwood School - Replace Roof</t>
  </si>
  <si>
    <t>Ed Center - Mechanical Upgrades</t>
  </si>
  <si>
    <t>Public Buildings Department-Electrical</t>
  </si>
  <si>
    <t>Replace interior lighting fixtures with T-5 or super T-8 flourescent fixtures to improve light levels and energy efficiency.•Update all interior electrical locations (~60 locations) with GFI duplex receptacles.•Replace electrical distribution panels with a (2) 42-circuit system.•Replace main electrical service and upgrade to 250A.•Build out a lockable dedicated TR for security purposes.  Sensitive information is warehoused here. Coordinate with an IT plan to bring the building up to BICSI standards.•Rewire entire Telcom and Electrical infrastructure to BICSI and Electrical code.</t>
  </si>
  <si>
    <t>Rebuild access ramp located at middle right side of building (70sf). Repair and repoint deteriorated areas of stone cornice (20%= 300lf).•Repair minor damaged areas of metal skin siding at large cupola (200sf).•Rebuild/reset front main entry stone stairs and stone wing walls and install code-compliant railings (10r triple-wide).  Replace or repair damaged stone treads. Rebuild/reset both front side entry stone stairs and install code-compliant railings (5r double-wide).  Repair, reset and repoint stair treads and handrails at four locations (6R at each location). Rebuild/reset rear stone stairs and install code-compliant railings (20r).  Rebuild and repoint stone corner posts at rear stairs (2 ea). •Replace egress stairs from basement to exterior.  Construct first three risers at basement level out of concrete to reduce future corrosion of steel (20r).</t>
  </si>
  <si>
    <t>Attach support post to foundation (1ea). Remove rotted section of fire escape platform(1ea) and attach new grate. Attach top fire escape rail to building(1ea).•Replace accessible ramp (35 lf) located at the front entrance with ADA code compliant ramp and railings. Repair concrete nosing located at the front entrance top riser(1ea). Install new side entry concrete stairs(2r) and handrails. Remove wood stairs(9r) and replace with composite stair tread. Add handrail (10lf) to side without railing. Clean debris and repair drywell(1ea)•Install vents through out balance of soffits(600sf area). Remove 1x4 fir from front and rear deck and install composite 1x4 deck (500sf). Clean out basement windows(5ea)•Scrape, caulk and paint exterior siding(4600sf)</t>
  </si>
  <si>
    <r>
      <t xml:space="preserve">Remove disabled electrical generator from premises and replace with a new unit.•Tie back flexible electrical conduit to meet electrical code.•Rewire entire Telcom infrastructure to BICSI code.•Add additional duplex receptacle to each office location (~20 locations) to address extensive use of power strips and extension cords.•Update horn strobes on fire/smoke alarm system to be ADA compliant.•Upgrade exterior lighting sensors to run on light level conditions and battery backup in the event of power failure.  Add occupancy sensors to the office area to improve energy efficiency.•Finish TR communications wiring by securing the cabling to bring up to BICSI code. </t>
    </r>
    <r>
      <rPr>
        <sz val="8"/>
        <color rgb="FFFF0000"/>
        <rFont val="Calibri"/>
        <family val="2"/>
        <scheme val="minor"/>
      </rPr>
      <t xml:space="preserve"> Generator not needed and cost too high.</t>
    </r>
  </si>
  <si>
    <t xml:space="preserve">Re-build the main entry ramp to be code compliant. Make ADA door opening device fully functioining. </t>
  </si>
  <si>
    <t>Re-build the main entry ramp so that it is greater than 48" wide between handrails and so that the slopes and landings are code compliant.•Install an elevator to provide vertical access to the second floor.</t>
  </si>
  <si>
    <t>Police Garage - Accessibility/Site Upgrades</t>
  </si>
  <si>
    <t>Provide accessible door hardware, signage and code-compliant lower counters.  Install accessible employee toilet room.</t>
  </si>
  <si>
    <t>Install tactile and Braille signage at the exits; Replace door knobs with hardware that is operable without tight grasping, pinching or twisting (lever type);  Provide code-compliant lower counters.•Install an accessible toilet room for the employee toilet room;  Replace the existing  door threshold at the employee toilet room.</t>
  </si>
  <si>
    <t>Replace door hardware with hardware that is operable without tight grasping, pinching or twisting (lever type); Install a lowered transaction counter at the circulation desk;  Provide an accessible table in the reading area;  Modify door at stairwell or install an automatic door opener to achieve 18” wide maneuvering clearance on the latch pull side of the door;  Replace handrails in stairwell with ADA-compliant rails.•Provide striping and signage for an accessible parking space;  Provide an accessible route from parking to library entrance; Provide an accessible route from parking to basement food pantry; Replace handrails at library entrance stairs with ADA-compliant rails; Relocate drop box to an accessible route or remove;  Repair cracked and uneven surface of path to main entrance.</t>
  </si>
  <si>
    <t>Provide an accessible toilet room for the womens and mens toilet rooms.•Install door hardware that is operable without tight grasping, pinching or twisting (lever type); Reconfigure the vestibule so there is more than 48" beyond the swing of the door;  Provide a lower code-compliant transaction counter;  Provide a hi lo drinking fountain.•Provide tactile and Braille signage at all rooms and spaces and exits.  Mount on the wall by latch side of door;  Provide directional signage to the accessible route to the main entrance.</t>
  </si>
  <si>
    <t>Burr Park Field House - Accessibility/Site Upgrades</t>
  </si>
  <si>
    <t>Accessibility upgrades to toilet rooms and fixtures, signage, drinking fountain, and door hardware.  Provide accessible path to entrance and an accessible parking space.</t>
  </si>
  <si>
    <t>Install tactile and Braille room and exit signage mounted adjacent to latch side door at all permanent rooms and exits.•Install hi-lo drinking fountain; Re-grade path to entrance and path along Park Street side of building to meet ADA-compliance requirements; Install a path to the playground that is 36" wide and the slope is not to exceed 5%; Install ADA-compliant handrails and handrail extensions at the path near the field house and at the stair on the Park Street side of the building; Replace existing table an accessible table.•Install an accessible sink that has a min. 27" AFF for knee clearance with hardware that is operable without tight grasping, pinching, or twisting•Restripe pavement markings to provide an accessible parking space.•Insulate pipes to protect against contact; Re-locate toilet dispenser and toilet mechanism so they will not interfere with grab bar; Mount 42" grab bars so that the rear one is mounted less than 6" from the corner and side grab bar is mounted less than 12" from the corner; Replace the flush controls in the women's toilet room; Lower the urinals in the men's toilet room so that the rim is 17" AFF.</t>
  </si>
  <si>
    <t>Emerson Community Center - Accessibility Upgrades</t>
  </si>
  <si>
    <t>Countryside School - Mechanical Upgrades</t>
  </si>
  <si>
    <t>Fire Station #2, West Newton - Mechanical Upgrades</t>
  </si>
  <si>
    <r>
      <t xml:space="preserve">Replace unit heaters (2ea).•Replace exhaust fans in ground level bathroom (1ea), drying room (1ea), and attic (3ea).•Provide new steam boiler or high efficiency hot water boiler with pumps. Note-with hot water boiler, fin tube radiation will be slightly derated and will require modifications.•Replace or service heating thermostats.•Replace steam traps.  </t>
    </r>
    <r>
      <rPr>
        <sz val="8"/>
        <color rgb="FFFF0000"/>
        <rFont val="Calibri"/>
        <family val="2"/>
        <scheme val="minor"/>
      </rPr>
      <t>Compressor issue?</t>
    </r>
  </si>
  <si>
    <t>Repair Hammond St Drain</t>
  </si>
  <si>
    <t>Roadway drainage system is not functioning properly; Lack of road repair could lead to total pipe collapse and roadway settlement</t>
  </si>
  <si>
    <t>Emerson Community Center - Mechanical Upgrades</t>
  </si>
  <si>
    <t>Replace existing cast iron radiators with new steam baseboard units. Remove and replace all old insulation on heating pipes. Potential abatement needed.</t>
  </si>
  <si>
    <t>Replace existing cast iron radiators with new steam baseboard units.•Remove all old insulation on heating pipes, check condition of heating pipes and install new insulation.</t>
  </si>
  <si>
    <t>Replace Cold Spring Park Tennis Courts</t>
  </si>
  <si>
    <t>Restoration of Historic East Burying Grounds</t>
  </si>
  <si>
    <t>Some tombs are falling apart--could be dangerous if someone fell in.</t>
  </si>
  <si>
    <t>50K miles, moderate body rot</t>
  </si>
  <si>
    <t>Kennard Estate - Replace Septic System</t>
  </si>
  <si>
    <t>Bigelow School - Replace Windows and Doors</t>
  </si>
  <si>
    <t>Replace aging windows and exteror doors to improve comfort, operation, and energy efficiency.</t>
  </si>
  <si>
    <t>Burr Park Field House - Building Envelope and Window Restoration</t>
  </si>
  <si>
    <t>Repair damaged exterior brick walls and trim. Remove entry landing stairs and railings and install new code-compliant landing, stairs and railings. Restore windows.</t>
  </si>
  <si>
    <t>Repair damaged areas of exterior brick masonry walls (20%=600sf).•Repair, prepare surface, and repaint running trim around building (300lf).•Repair, prepare surface, and repaint running trim around building (300lf).•Reseal masonry walls (2700sf); Paint wood trim (300sf).•Remove main entry landing (250sf), stairs (4rx10lf) and railings (25lf) and install new code-compliant landing, stairs and railings.  Remove entry patio fence at 3-step stairs and install new fence and railings (100lf).  Remove left sidewalk and retaining wall and replace with new concrete sidewalk, retaining wall (200sf). Add railing to new steps (3r).  Repair right concrete sidewalk (50sf). Install  new concrete steps on right side with handrails (3r).Remove bay window security grill, repair, paint as required (1ea). Remove bay wood window and replace with new, historically appropriate insulated unit (1ea). Re install security grills(1ea).•Remove security grills at exterior windows, repair, and paint as required (25ea). Remove single hung wood exterior windows and replace with histroically new historically appropriate insulated units (25ea). Reinstall security grills (25ea).</t>
  </si>
  <si>
    <t>Auburndale Library -Mechanical Upgrades</t>
  </si>
  <si>
    <t>Replace boiler with new steam oil-fired boiler. Replace breeching, combustion air dampers and ductwork.  Include heating zone and radiators in basement area.•Replace condensate pump with duplex condensate pump.•Provide new insulated piping with new boiler system.•Provide condensate pump for dehumidifers with new PVC piping. Repipe condensate through window in boiler room.•Provide new insulation for supply ductwork. Provide grille or screen for return ductwork.  Provide wire mesh screen at inlets to ductwork.  Provide covers for transfer grilles on basement side.</t>
  </si>
  <si>
    <t>Upper Falls Fieldhouse-Building Upgrades</t>
  </si>
  <si>
    <t>Replace urinal in mens room (1ea).•Replace sinks in toilet rooms (2ea).•Replace drinking fountain.•Replace all toilets (2ea).</t>
  </si>
  <si>
    <t>Horace Mann School - Restore/Replace Modular</t>
  </si>
  <si>
    <t>Existing modular is nearing the end of its useful life and will need to be reconditioned or replaced with permanent construction</t>
  </si>
  <si>
    <t>Crystal Lake Bathhouse - Renovate/Replace</t>
  </si>
  <si>
    <t>Existing bathhouse requires replacement due to significant deterioration including wood rot, mold and algae, leaks, &amp; flooding related to adjacent parking lot storm water issues.   Facility is over 80 years old and has over 25,000 visits annually.</t>
  </si>
  <si>
    <t>Police Annex - Roof Restoration/ Replacement</t>
  </si>
  <si>
    <t>Remove slates and replace with new slate roofing, gutters and downspouts (6600sf).•Install new EPDM Roof(500sf).  Reattach pvc downspout(1ea).</t>
  </si>
  <si>
    <t>Auburndale Cove Fieldhouse - Building Upgrades</t>
  </si>
  <si>
    <t>Replace Cabot Park Tennis Courts</t>
  </si>
  <si>
    <t>Replace two existing tennis courts at Cabot Park.</t>
  </si>
  <si>
    <t>Jeanette Curtis West Rec Ctr (The Hut) Renovation</t>
  </si>
  <si>
    <t>Rehabilitation of building envelope, mechanical, electrical, plumbing systems, life-safety, and accessibility of this historically significant structure. Houses many programs.</t>
  </si>
  <si>
    <t>Structurally the building is beginning to fail and has an outdated heating system that can not keep the facility warm in the winter.  This building is a key component of a number of the Department's programs and is also utilized by the School Department.</t>
  </si>
  <si>
    <t xml:space="preserve">Replacement of vehicle that is used daily for maintenance operations that exceeded its useful life span.  </t>
  </si>
  <si>
    <t>Vehicle is used daily for maintenance operations.  Loss of this vehicle would significantly hinder basic department services</t>
  </si>
  <si>
    <t>Police Garage - Mechanical Upgrades</t>
  </si>
  <si>
    <t>Replace ceiling hung unit heaters. Provide bathroom exhaust fan and split air conditioning system. Remove abandoned steam piping to prevent possibility of freezing.</t>
  </si>
  <si>
    <t>Replace ceiling hung unit heaters or install gas-fired dx cooled RTUs •Provide exhaust fan in garage bathroom at 75 CFM per fixture (1 ea).•Provide split system or new window unit. Condensate must be drained to the outside or to floor drain.•Provide split air conditioning system. Wall mounted indoor units with condensing unit located outside or on roof (Approx. 2 tons).•Remove abandoned steam piping to prevent possibility of freezing.Remove existing garage air pump compressor and replace with a new high efficiency unit (1ea).</t>
  </si>
  <si>
    <t>Apparatus replacement plan.Engine 3 will become a spare and replace spare Engine 14. Engine 14 gets taken out of service</t>
  </si>
  <si>
    <t>Senior Center - Building Envelope</t>
  </si>
  <si>
    <t>Repoint exterior masonry walls as required(10%=800sf).•Repair, reset and regrout main granite front stairs (4r). Repair stone veneer at main entry (1ls). Rebuild rear right side areaway and stairs(14r). Rebuild left side rear areaway granite cap (14lf) and install handrails (15lf). Install bollards to protect granite cap at left rear areaway (2ea).•Install new areaway canopy at the right side rear (50sf) to replace badly deteriorated canopy.</t>
  </si>
  <si>
    <t>Station is in major need of repair</t>
  </si>
  <si>
    <t>Nonantum Library-Mechanical</t>
  </si>
  <si>
    <t>Remove and replace slate roof. Install new gutters and downspouts. Remove and replace existing flat roof.</t>
  </si>
  <si>
    <t>Develop plans to expand archival storage to accommodate and preserve archival collections and to comply with MGL mandated record storage requiremts.</t>
  </si>
  <si>
    <t>The only city Archival Storage space is in the Newton Free Library and is 95% full.  Needs to be expanded to accommodate MGL mandated record storage and preservation into the future.  A plan needs to be developed to address this critical need before space runs out.</t>
  </si>
  <si>
    <t>Public Buildings Department-Mechanical</t>
  </si>
  <si>
    <r>
      <t xml:space="preserve">Replace (2) duct mounted steam coils and baseboard heaters.•Replace fan coil ductwork with new insulated ductwork.  Provide make up air dampers and control for emergency generator.•Replace boiler induced-draft fan and replace corroded section of breeching.  Provide 75 CFM exhaust fans in mens and womens toilet rooms.•Replace air handler with new fan coil unit. Provide pad for unit to prevent water damage to unit or return ductwork.•Insulate steam and condensate piping in boiler room.•Provide damper and controls for combustion air opening for boiler.  </t>
    </r>
    <r>
      <rPr>
        <sz val="8"/>
        <color rgb="FFFF0000"/>
        <rFont val="Calibri"/>
        <family val="2"/>
        <scheme val="minor"/>
      </rPr>
      <t>No baseboard heating.</t>
    </r>
  </si>
  <si>
    <t>Elliot St. Operations Building - Roof Repair/ Replacement</t>
  </si>
  <si>
    <t xml:space="preserve">Remove and replace corrugated fiberglass roof.  Repair/ replace existing slate roof and add ice shield to prevent ice damming and icicle build-up. Repair/replace gutters. </t>
  </si>
  <si>
    <t>Remove old corrugated fiberglass roof and replace with new shed roof (80sf).•Remove existing slate roof. Add water and ice shield to correct problem of ice damming and icicle build-up. Install new architectural grade slate roof (6000sf). Repair or replace gutter when adding new roof. (160lf).•Repair roof deck as required when repairing foundation walls (1100sf).</t>
  </si>
  <si>
    <t>Auburndale Library -Exterior Windows &amp; Doors</t>
  </si>
  <si>
    <t>Remove existing exterior wood doors and frames and replace with new doors and hardware (3ea.)•Repair/replace 20% of lead solder, woodwork and storms at building windows (16ea).</t>
  </si>
  <si>
    <t>Pelligrini Park Field House - Electrical Upgrades</t>
  </si>
  <si>
    <t>Replace lighting in (5,500sq-ft) building to T-5 or Super T-8. Provide protective cages over lighting fixtrues in gymnasium area.•Replace Main electrical service with new code-compliant hardware.•Replace and upgrade all electrical conduit and wiring.•Replace electrical panelboards (2ea).•Build out a dedicated secured 8'x'10 TR area to prevent accidental damage of Telecom components.•Replace duplex sockets and bring to code (Est. 50 receptacles).</t>
  </si>
  <si>
    <t>Ed Center - Accessibility Upgrades</t>
  </si>
  <si>
    <t>Upgrade elevator, door hardware, and signage for accessibility.</t>
  </si>
  <si>
    <t>FA Day School - Accessibility Upgrades / Replace Elevator</t>
  </si>
  <si>
    <t>Nonantum Library-Electrical</t>
  </si>
  <si>
    <t>Replace electrical conduit and wiring throughout the library structure and bring up to code.•Add GFI receptacles to Men's and Women's toilets (2ea).•Upgrade interior lighting to Super T-8 flourescent lighting.•Replace electrical panel box with new 84 Circuit code-compliant panel board.•Replace main electrical service with new code-compliant hardware.</t>
  </si>
  <si>
    <t>Police Garage - Electrical Upgrades</t>
  </si>
  <si>
    <t>Connect the Garage to the existing CAT 250KW generator.•Rewire entire Telcom infrastructure to BICSI code.•Replace interior lighting fixtures with t-5 or super T-8 to improve on light levels and efficiency.•Upgrade exterior lighting sensors to run on light level conditions and battery backup in the event of power failure.  Add occupancy sensors to the office area and garage to improve energy efficiency.•Update all electrical locations (~60 locations) with GFI duplex receptacles.•Rewire entire electrical infrastructure and allow for office expansion and storage areas to be electrified.•Strip back old FMC electrical conduit and replace conduit and wiring.•Strip back old RMC electrical conduit and replace conduit and wiring.•Replace electrical distribution panel with 42-circuit system.•Replace main electric service to building and upgrade to 200A.•Build out a lockable dedicated TR for security purposes.  Sensitive information is warehoused here.•Upgrade security system with integrated cameras that allow for dispatch to monitor activity in the property and evidence room.•Install a code-compliant smoke and fire detection system.•Add egress and EXIT signage per code to office and garage bay.•Add 10 all-weather GFI receptacles along the perimeter of the structure.</t>
  </si>
  <si>
    <t>City Hall - Plumbing Upgrades</t>
  </si>
  <si>
    <t>Crafts Street Garage - Replace Overhead Garage Doors</t>
  </si>
  <si>
    <t>Replace ten 25-year old overhead doors and tracks.  Replace exterior entrance doors and vestibule doors.</t>
  </si>
  <si>
    <t xml:space="preserve">$75,000 for 10 replacement garage doors (25 years old). </t>
  </si>
  <si>
    <t>Existing paper maps will continue to deteriorate with age and resource will be lost</t>
  </si>
  <si>
    <t>The existing aquatic facility is nearly 50 years old and has constant equipment failures and leaks.  The pool has insufficient space to accommodate the volume of use and sees over 35,000 visits a year.  Replacing the pool will allow the City to expand its swim programs and accommodate residents waiting to join the City's swim team.  Its use would be expanded to all year round with the installation of a removable enclosure.</t>
  </si>
  <si>
    <t>Fire Station #2, West Newton - Renovation</t>
  </si>
  <si>
    <t>Stations in major need of repair</t>
  </si>
  <si>
    <t>Replace second boiler and steam trap work.</t>
  </si>
  <si>
    <r>
      <t xml:space="preserve">Convert 19 gas lights to electric lights on existing utility poles.  Convert 56 gaslights to electric lights where no streetlight pole exists.  Requires installation of conduit, electric meters, new foundations, new poles, and new light fixtures.  </t>
    </r>
    <r>
      <rPr>
        <sz val="8"/>
        <color rgb="FFFF0000"/>
        <rFont val="Calibri"/>
        <family val="2"/>
        <scheme val="minor"/>
      </rPr>
      <t>Payback period?  break into two projects? location?</t>
    </r>
  </si>
  <si>
    <t>Cost is about $500 per light.  Natural gas savings is about $8,300 per year.  Payback is about 1.2 years.  Gaslights are 1/3 as bright as 50 watt streetlight.  Gaslights have greater carbon emission by factor of 11.  Gaslights are 17 times more expensive to operate and maintain.</t>
  </si>
  <si>
    <t>Police Garage - Roof Replacement</t>
  </si>
  <si>
    <t>Remove overgrowth of trees (3ls). Repair the  animal access into mezzanine Lock up mezz. Repair roof as required. Repair water divertor located above support service bureau door (1ls).</t>
  </si>
  <si>
    <t>Scheduled replacement year: 2017</t>
  </si>
  <si>
    <t>Replace Newton South High School Tennis Courts</t>
  </si>
  <si>
    <t>Replace Fire  Pumper Truck (Engine 7)</t>
  </si>
  <si>
    <t>Oak Hill district will be left without fire protection. Needs to replace spare pumper so that spare can be taken off the road</t>
  </si>
  <si>
    <t>Elliot St. Operations Building - Accessibility/Site</t>
  </si>
  <si>
    <t>Restripe pavement and provide parking signage to create accessible parking spaces; construct an accessible entrance to the building.</t>
  </si>
  <si>
    <t>added $50K for entrance ramp.</t>
  </si>
  <si>
    <t>Jackson Homestead - Object Collection Storage</t>
  </si>
  <si>
    <t>The Museum is no longer collecting because there is no space for additional materials.  Also crowded conditions do not lead to good care and management.</t>
  </si>
  <si>
    <t>Senior Center - Exterior Windows &amp; Doors</t>
  </si>
  <si>
    <t>Restore/Replace wood windows and aluminum storm windows as historically appropriate.</t>
  </si>
  <si>
    <t>Repair /Replace and repaint wood windows and aluminum storm windows as required (20%=14ea).</t>
  </si>
  <si>
    <t>Burr School - Accessibility Upgrades</t>
  </si>
  <si>
    <t>Pellegrini Park Drain Replacement</t>
  </si>
  <si>
    <t xml:space="preserve">Minor flooding in park area.  Work needs to be completed prior to rehabilitation of fields. </t>
  </si>
  <si>
    <t xml:space="preserve">Underwood School - Electrical Upgrades </t>
  </si>
  <si>
    <t>Waban Library-Exterior Windows &amp; Doors</t>
  </si>
  <si>
    <t>Refit  exterior wood door (1ea). Install panic hardware (3ea).Replace areaway and rear door(2ea).•Repair, scrape, prepare surface and paint first floor (20ea) and basement windows (20ea).</t>
  </si>
  <si>
    <t>Elliot St. Operations Building - Mechanical/ Plumbing Upgrades</t>
  </si>
  <si>
    <t>Provide combustion air openings with dampers and controls for boiler per code requirements. Provide new breeching with barometric damper.•Replace unit heater in tool room with new code-compliant unit heater.•Replace finned tube heater in garage with new code compliant finned tube heater.•Replace cast iron radiators with code-compliant finned tube radiators.•Provide new ventilation grilles/diffusers.•Provide new insulated steam and condensate piping.•Replace locker room unit heater with new code-compliant unit heater. Replace toilet fixtures in basement and clean out sanitary piping.•Replace hot water heater in basement.•Replace shower head and piping.•Replace sink and clear drain and improve water flow.Replace toilet fixtures in basement and clean out sanitary piping.•Replace hot water heater in basement.•Replace shower head and piping.•Replace sink and clear drain and improve water flow.</t>
  </si>
  <si>
    <t>Pump station is used for flood and mosquito control of Flowed Meadow and needs upgrades and repair work to function properly.</t>
  </si>
  <si>
    <t xml:space="preserve"> Roof and exterior decoration; Roof repair and replacement of exterior doors; Roof collapse would cost $125K to replace roof and internal mechanical controls</t>
  </si>
  <si>
    <t>Bigelow School - Accessibility Upgrades</t>
  </si>
  <si>
    <t>Install accessible ramp at entrance. Provide accessible toilet rooms. Resurface and re-grade pavement to comply with ADA requirements; Provide accessible parking space.</t>
  </si>
  <si>
    <t>Install an elevator to provide access to all floors.•Install accessible ramp at entrance.•Provide an accessible mens and womens toilet room.•Resurface and re-grade existing pavement to comply with ADA requirements; Restripe pavement markings to provide a van accessible space with access aisle and compliant signage.</t>
  </si>
  <si>
    <t>Waban Library-Electrical</t>
  </si>
  <si>
    <t>Add GFI receptacles (2) to Men's and Women's toilets.•Upgrade interior lighting to Super T-8 flourescent to improve energy efficiency.  Include an occupancy sensor lighting contol system.•Replace electrical panel box with new 42 Circuit code-compliant board.•Replace all exterior lighting (6 wall pack units) to improve safety &amp; security and add a lighting controller system.•Replace main electric service with new code-compliant hardware.•Replace conduit and wiring throughout the library structure and bring up to code.</t>
  </si>
  <si>
    <t>City Hall - Rehabilitate Board of Alderman Chamber</t>
  </si>
  <si>
    <t>Senior Center - Roof Restoration/ Replacement</t>
  </si>
  <si>
    <t>Remove existing slate roof and replace with new roof, gutters, and downspouts (5900sf).•Replace existing flat roof with new membrane roof and provide proper roof drainage (400sf).</t>
  </si>
  <si>
    <t>Replace/restore slate roof as historically appropriate.</t>
  </si>
  <si>
    <t>Repair/restore slate roof.</t>
  </si>
  <si>
    <t>Elliot St. Operations Building - Replace Windows &amp; Doors</t>
  </si>
  <si>
    <t>Remove and replace windows.  Replace overhead doors. Replace exterior and interior doors.</t>
  </si>
  <si>
    <t>Remove and replace windows at the exterior garage level (2ea).•Replace overhead doors (4ea).Install new doors and frames at six locations (6ea). Remove tripping hazard at the garage stair doorway sill.</t>
  </si>
  <si>
    <t>Auburndale Library - Electrical Upgrades</t>
  </si>
  <si>
    <t>Add GFI receptacles (2) to Men's and Women's toilets and add 10 additional receptacles per code requirements to reduce the need for extension cords.•Replace electrical conduit and wiring through the Library Structure and bring up to code.•Upgrade interior lighting fixtures to Super T-8 flourescent to improve energy efficiency.•Replace main electrical service with new code-compliant hardware.•Replace electrical panel box with new 84 Circuit code-compliant panel board.</t>
  </si>
  <si>
    <t>Restoration of Historic West Burying Grounds</t>
  </si>
  <si>
    <t xml:space="preserve">Entrance ramp, toilet room and water fountain upgrades, door hardware, lift, etc to improve accessibility. </t>
  </si>
  <si>
    <t>Install an accesible bench in the locker room; Install an accessible table in the locker room; Install an accesssible locker in the locker room; Provide accessible route to the reception area; Provide a barrier below interior stair because headroom is less than 80"; Reposition fire extinguisher and punch in clock so they are mounted 27" AFF or install a cane detectable barrier.•Provide directional signage from lower entrance to accessible entrances; Resurface/re-grade path from parking to accessible entrances to meet ADA requirements.•Reverse swing direction of stall door in toilet room on first and second level; Reposition side grab bar at first level toilet room to extend 54" beyond back wall; Install grab bar in accessible toilet room on second level; Remove urinal shield in first level toilet room; Insulate pipes to protect against contact; Reposition mirror in both toilet rooms to 40" AFF; Reposition dispenser in first level toilet room to 54" AFF.•Restripe pavement markings to provide accessible parking spaces; Install accessible parking signage.•Install tactile and Braille room and exit signage mounted adjacent to latch side door at all permanent rooms and exits.</t>
  </si>
  <si>
    <t>Countryside School - Replace Windows and Doors</t>
  </si>
  <si>
    <t>Replace single pane storefront system in connector and annex windows and exterior doors.</t>
  </si>
  <si>
    <t>Franklin School - Mechanical Upgrades</t>
  </si>
  <si>
    <t>Replace Bituminous main entry walk and foundation walls(600sf).•Install railing at concrete entry pad (15lf). Rebuild side stairs at main entry(4r double wide). Reset flag stone main entry patio area (50sf). Rebuild concrete stairs and concrete pad located at rear entry(3r). Install hand rail on one side of rear entry wall (15lf).•Repair flashing of parapet walls (200lf).</t>
  </si>
  <si>
    <t>Repair/Replace Fencing at Historic Burying Grounds</t>
  </si>
  <si>
    <t>Restoration of Fences at all 3 burying grounds</t>
  </si>
  <si>
    <t>Old chain link fences have rusted</t>
  </si>
  <si>
    <t>Underwood School - Accessibility Upgrades</t>
  </si>
  <si>
    <t>Accessibility upgrades including compliant  door hardware, Toilets, and Elevator</t>
  </si>
  <si>
    <t>Franklin School - Accessibility and Plumbing Upgrades</t>
  </si>
  <si>
    <t xml:space="preserve">Farlow &amp; Chaffin Parks Historic Landscape Preservation Plan </t>
  </si>
  <si>
    <r>
      <t>Restoration and preservation of Farlow and Chaffin Park.  Could b</t>
    </r>
    <r>
      <rPr>
        <sz val="8"/>
        <rFont val="Calibri"/>
        <family val="2"/>
        <scheme val="minor"/>
      </rPr>
      <t>reak out into design vs construction- 2 yrs</t>
    </r>
  </si>
  <si>
    <t>Historically important this landscape has deteriorated significantly since it was first built and requires significant work to restore.  This park is one of only a few passive recreation sites in the City that is a central focal point for the densely populated Newton Corner Neighborhood.</t>
  </si>
  <si>
    <t>Waban Library-Roofs</t>
  </si>
  <si>
    <t xml:space="preserve">Remove slate and install new slate roof, gutters and downspouts. </t>
  </si>
  <si>
    <t>Remove slate and install new slate roof, gutters and downspouts (6400sf). Inspect and reconnect downspouts into drywell (1ls). Repair rain water leader which is split over area way and drains roof water into area way (1ea).</t>
  </si>
  <si>
    <t>Zervas School - Plumbing Upgrades</t>
  </si>
  <si>
    <t>Mason Rice School - Accessibility Upgrades</t>
  </si>
  <si>
    <t>Mason Rice School - Electrical Upgrades</t>
  </si>
  <si>
    <t>Lincoln Eliot School - Electrical Upgrades</t>
  </si>
  <si>
    <t>City Hall and War Memorial Historic Landscape Preservation Project</t>
  </si>
  <si>
    <t>Restoration and preservation of City Hall grounds Historic Landscape</t>
  </si>
  <si>
    <t>The most identifiable landscape in the City, City Hall/War Memorial Public Bldg. Grounds designed by Olmsted Bros. is on the  National Historic Register.  This landscape has deteriorated significantly since it was first built and requires significant work to restore.</t>
  </si>
  <si>
    <t>Scrape, prepare surface, paint corrugated metal shed roof (2000sf).•Remove tree limbs from brushing on roof shingles. Install new roof shingles (4200sf). Scrape, prepare surfaces, paint rafter ends and plywood (270lf).•Remove skylights and replace with solar light tubes (7ea). Refinish interior skylight shaft (7ea).</t>
  </si>
  <si>
    <t>Cheesecake Brook Drainage Basin: Repair and Rebuild Retaining Wall</t>
  </si>
  <si>
    <t>Wall integrity is jeopardized; Further deterioration of walls would lead to potential collapse of further sections and impact private property</t>
  </si>
  <si>
    <t>Install an accessible toilet room.•Repair cracked and uneve concrete path;  Enlarge concrete landing area to 60" at side entrance and rebuild concrete path;  Replace door knobs at side and basement entrances with hardware that is operable without tight grasping, pinching or twisting (lever type);  Replace handrails at basement entrance with ADA-compliant rails;  Modify basement door to provide 18" wide clear maneuvering space on the latch pull side of the door or install an automatic door opener.•Install a lowered transaction counter at circulation desk;  Replace door hardware with hardware that is operable without tight grasping, pinching or twisting (lever type);  Replace stairwell railings with ADA-compliant rails;  Install a ramp in the basement to provide an accessible route to all book store stacks.•Install an elevator to provide vertical access to all floors.</t>
  </si>
  <si>
    <t>Nonantum Library-Accessibility/Site</t>
  </si>
  <si>
    <t>Provide visual alarms; Reconfigure both entry vestibules to get 48" beyond swing of door;  Provide an ADA-compliant coat hook;  Provide a section of circulation desk counter at least 36” wide and 36” AFF or provide a clipboard; Provide a hi lo drinking fountain.•Provide a van accessible parking space; Add pipe rail to existing handrails and add rail extensions at front stairs;  Reconstruct the ramp to conform to ADA dimensional requirements;  install handrail extensions at side entrance stairs.• Does not include elevator ($135K).•Relocate toilet so that the centerline of the toilet is 18” from the nearest wall;  Install a grab bar that is 42” long and mounted less than 12” from the corner;  Relocate the lavatory to have clear maneuvering space at 47"; Insulate exposed pipes to protect against contact.</t>
  </si>
  <si>
    <t>New DPW Equipment Shelter - Elliot St</t>
  </si>
  <si>
    <t>Covered storage extends life of vehicles and equipment</t>
  </si>
  <si>
    <t>Williams School - Accessibility Upgrades</t>
  </si>
  <si>
    <t>Install code-compliant sprinkler system in building in conjunction with any major building upgrade.</t>
  </si>
  <si>
    <t>Horace Mann School - Mechanical Upgrades</t>
  </si>
  <si>
    <t>Countryside School  - Plumbing Upgrades</t>
  </si>
  <si>
    <t>Laundry Brook Culvert Repairs</t>
  </si>
  <si>
    <t>Bowen School - Accessibility  Upgrades</t>
  </si>
  <si>
    <t>Elliot St. Garage - Roof Repair/Replacement</t>
  </si>
  <si>
    <t>Clean off overhanging roof vegetation, clean out drains and reseal  all EPDM seams (10,800sf).</t>
  </si>
  <si>
    <t>Elliot St. Operations Building - Interior and Finish Upgrades</t>
  </si>
  <si>
    <t xml:space="preserve">Lincoln Eliot School - Accessibility Upgrades </t>
  </si>
  <si>
    <t>Fire Dept Equipment Replacement</t>
  </si>
  <si>
    <t>Replace firefighters personal turnout gear. NFPA Standard is to replace every 10 yrs; now 3 yrs old. Best to replace incrementally instead of all at once.</t>
  </si>
  <si>
    <t>Burr School - Electrical Upgrades</t>
  </si>
  <si>
    <t>Brown School - Accessibility Upgrades</t>
  </si>
  <si>
    <t>Williams School - Mechanical Upgrades</t>
  </si>
  <si>
    <t>Countryside School - Accessibility Upgrades</t>
  </si>
  <si>
    <t>% Life Left</t>
  </si>
  <si>
    <t>Overall Condition</t>
  </si>
  <si>
    <t>Description</t>
  </si>
  <si>
    <t>Consequence</t>
  </si>
  <si>
    <t>Funding Source</t>
  </si>
  <si>
    <t>Deplorable</t>
  </si>
  <si>
    <t>No Impact</t>
  </si>
  <si>
    <t>Bonding</t>
  </si>
  <si>
    <t>Very bad</t>
  </si>
  <si>
    <t>Bad</t>
  </si>
  <si>
    <t>Small Impact</t>
  </si>
  <si>
    <t>Bonding/MSBA</t>
  </si>
  <si>
    <t>Poor</t>
  </si>
  <si>
    <t>Slightly below average</t>
  </si>
  <si>
    <t>Average</t>
  </si>
  <si>
    <t>Moderate Impact</t>
  </si>
  <si>
    <t>CPA Eligible</t>
  </si>
  <si>
    <t>Slightly above average</t>
  </si>
  <si>
    <t>Energy Stab. Fund</t>
  </si>
  <si>
    <t>Fair</t>
  </si>
  <si>
    <t>Enterprise Funds</t>
  </si>
  <si>
    <t>Good</t>
  </si>
  <si>
    <t>High Impact</t>
  </si>
  <si>
    <t>Grant</t>
  </si>
  <si>
    <t>Very good</t>
  </si>
  <si>
    <t>Other</t>
  </si>
  <si>
    <t>Excellent</t>
  </si>
  <si>
    <t>Very High Impact</t>
  </si>
  <si>
    <t>Overall Condition input</t>
  </si>
  <si>
    <t>Weight</t>
  </si>
  <si>
    <t>% Life Left as input</t>
  </si>
  <si>
    <t>% Life Left from data</t>
  </si>
  <si>
    <t>Est.Year Installed</t>
  </si>
  <si>
    <t>Est. Service Life (yrs)</t>
  </si>
  <si>
    <t>Overall Condition   0: Worse to 10: Best</t>
  </si>
  <si>
    <t>% Life Left      0: Expired to 100: New</t>
  </si>
  <si>
    <t>CONSEQUENCES OF FAILURE (IF NOT IMPLEMENTING PROGRAM) RATINGS  AND WEIGHTS --0 (No Impact) to 10 (High Impact)</t>
  </si>
  <si>
    <t>City Operations</t>
  </si>
  <si>
    <t>Programs/Services</t>
  </si>
  <si>
    <t>Costs/Savings Ratio</t>
  </si>
  <si>
    <t>Health &amp; Safety</t>
  </si>
  <si>
    <t>Property Damage</t>
  </si>
  <si>
    <t>Quality of Life</t>
  </si>
  <si>
    <t>Dept. Mission or Vision</t>
  </si>
  <si>
    <t>Programs / Services</t>
  </si>
  <si>
    <t>Sum of Weights</t>
  </si>
  <si>
    <t>% Life Left (Dynamic)</t>
  </si>
  <si>
    <t xml:space="preserve"> % Life Left </t>
  </si>
  <si>
    <t>Condition Likelihood Failure</t>
  </si>
  <si>
    <t>% Life Left Likelihood failure</t>
  </si>
  <si>
    <t>Threshold</t>
  </si>
  <si>
    <t>Likelihood of Failure</t>
  </si>
  <si>
    <t>Conseq. Factor</t>
  </si>
  <si>
    <t>Risk Factor</t>
  </si>
  <si>
    <t>Quadrant</t>
  </si>
  <si>
    <t>Total</t>
  </si>
  <si>
    <t>Bonding /MSBA</t>
  </si>
  <si>
    <t>Submitted for Re-Use Determination</t>
  </si>
  <si>
    <t xml:space="preserve">Bonding </t>
  </si>
  <si>
    <t>Energy Stabilztn Fund</t>
  </si>
  <si>
    <t>Energy</t>
  </si>
  <si>
    <t>Parks / Open Space</t>
  </si>
  <si>
    <t>Roads/ Paving</t>
  </si>
  <si>
    <t>Large Vehicle/ Equipment</t>
  </si>
  <si>
    <t>Ward School - Replace Roof</t>
  </si>
  <si>
    <t>Ward School - Replace Windows and Doors</t>
  </si>
  <si>
    <t>Lincoln Eliot School - Replace Emergency Generator</t>
  </si>
  <si>
    <t>Bigelow School - Roof Replacement</t>
  </si>
  <si>
    <t>Replace Air handlers. Direct Digital Controls conversion for HVAC system.</t>
  </si>
  <si>
    <t>Franklin School - Building Envelope</t>
  </si>
  <si>
    <t>Newton South High School - Mechanical Upgrades</t>
  </si>
  <si>
    <t>Newton South High School - Fire Alarm Upgrades</t>
  </si>
  <si>
    <t>Newton South High School - Electrical Upgrades</t>
  </si>
  <si>
    <t>Mason Rice School - Replace Roof</t>
  </si>
  <si>
    <t>Burr School - Replace Roof</t>
  </si>
  <si>
    <t>Underwood School - Mechanical Upgrades</t>
  </si>
  <si>
    <t>Prior Year Funding</t>
  </si>
  <si>
    <t>Fire Station #1, Newton Corner - Replace Windows &amp; Doors &amp; Repair Masonry</t>
  </si>
  <si>
    <t>Replace windows and doors and repair/restore masonry.</t>
  </si>
  <si>
    <t>Horace Mann School - Accessibility Upgrades</t>
  </si>
  <si>
    <t>Horace Mann School - Electrical/ Emergency Generator</t>
  </si>
  <si>
    <t xml:space="preserve">Rebuild accessible ramp. Repair and repoint stone cornice.  Rebuild/reset main entry  stairs and install code-compliant railings.  </t>
  </si>
  <si>
    <t>City Hall - Electrical Upgrades</t>
  </si>
  <si>
    <t>Repair Bulloughs Pond Sluice Gate</t>
  </si>
  <si>
    <t>Tree Crew Log Loader</t>
  </si>
  <si>
    <t>Replace Fire Dept Bucket Truck</t>
  </si>
  <si>
    <t>Hillside Ave - Otis to Austin</t>
  </si>
  <si>
    <t xml:space="preserve">Newton Highlands Playground - Phase II Design &amp; Construction </t>
  </si>
  <si>
    <t>Replace Weeks Playground Tennis Courts</t>
  </si>
  <si>
    <t>Replace McGrath Playgound (Warren) Tennis Courts</t>
  </si>
  <si>
    <t>Costs/ Savings Ratio</t>
  </si>
  <si>
    <t>Replace emergency generator, electrical panels and sub-panels.</t>
  </si>
  <si>
    <t>Repair broken roof slates. reflash slates where leaks are occurring(10% =450sf). Repair/replace gutters and downspouts as required(150lf). Pitch rainwater leaders discharge away from building foundations.Repair main concrete ramp slab-on-grade (200sf). Grout concrete railing bases at main entry ramp.  Repair foundation walls (50lf) at left entry ramp and repair concrete ramp deterioration (100sf) and install handrails along both sides (50lf).•Remove and replace right side concrete stairs with new concrete stair and railings(5r).  Repair deteriorated concrete (11r) and add handrails to ride side areaway stair.  Completely rebuild left areaway concrete foundation wall and stairs (11r).•Scrape, prepare surface and paint wood trim(100sf).•Scrape, prepare surface, and repaint architectural canopy at side entrance (30sf)•Replace corrugated FRP canopies over two basement entry areaways with new historically appropriate enclosed shelters(150sf) to prevent snow accumulation in areaways.</t>
  </si>
  <si>
    <t>Old Priority</t>
  </si>
  <si>
    <t xml:space="preserve"> </t>
  </si>
  <si>
    <t xml:space="preserve">Webster St. - Clean and Line Water Main on Webster St </t>
  </si>
  <si>
    <t xml:space="preserve">Replace emergency generator with smaller unit and install battery back-up emergency egress lighting system. </t>
  </si>
  <si>
    <t>Upgrade fire alarm system to be fully addressable.</t>
  </si>
  <si>
    <t>Codes/ Health &amp; Safety</t>
  </si>
  <si>
    <t>Peirce School - Electrical Upgrades</t>
  </si>
  <si>
    <t xml:space="preserve">Peirce School - Accessibility Upgrades </t>
  </si>
  <si>
    <t>Future building renovation will address hardware, toilets, elevator, etc. (stage access, railings signage, water fountains).</t>
  </si>
  <si>
    <t>Underground station built in 1994.  Contains 2 (3 hp pumps). Replace rotating assembly. Pumps and motors replaced in fy 10</t>
  </si>
  <si>
    <t>Pumps and motors replaced in fy 09</t>
  </si>
  <si>
    <t>2001 engineering study: 38 culverts totalling 11,326 lf inspected.  Approx 250lf required repairs due to exposed rebar and erosion; significant cleaning required for entire length</t>
  </si>
  <si>
    <t>Station contains one 60 hp pump. Replace pump in fy 15. Pumps to fill Oak Hill Storage Tank</t>
  </si>
  <si>
    <t>Replace emergency generator and electrical upgrades.</t>
  </si>
  <si>
    <t>Bowen School - Roof Replacement</t>
  </si>
  <si>
    <t>Chapt 90/ Alt Funds</t>
  </si>
  <si>
    <t>Replace Gath/Albemarle Foot Bridge</t>
  </si>
  <si>
    <t>CDBG Funding?</t>
  </si>
  <si>
    <t>Replace Water Pipes to Improve Fire Flows</t>
  </si>
  <si>
    <t>Clean and Line Water Pipes to Improve Water Quality</t>
  </si>
  <si>
    <t>Senior Center - Sprinklers and Fire Alarm Upgrades</t>
  </si>
  <si>
    <t>City Hall - Sprinklers and Fire Alarm Upgrades</t>
  </si>
  <si>
    <t>Police Annex - Emergency Generator</t>
  </si>
  <si>
    <t>Crafts Street Garage - Site Upgrades</t>
  </si>
  <si>
    <t>Sidewalk Improvements</t>
  </si>
  <si>
    <t>Water Tanks - Remove Stanton Ave. &amp; Winchester St. Water Tanks</t>
  </si>
  <si>
    <t>Based on hydraulic studies, tanks are no longer needed to maintain water pressure.  Structural assessment may be needed.</t>
  </si>
  <si>
    <t>Alternate Funding</t>
  </si>
  <si>
    <t>Improve pedestrian safety.  Repair/replacement of sidewalks in poor condition and new sidewalks in village centers, school zones, on major roads.</t>
  </si>
  <si>
    <t xml:space="preserve">Replace boiler, second boiler and hot water conversion in out years.  Boilers are 35 years old. </t>
  </si>
  <si>
    <t>DPW - Replace Large Construction Trucks</t>
  </si>
  <si>
    <t xml:space="preserve">Install CO/NOx detection system for garage so that the detection of gas energizes the existing exhaust fans.  Install backdraft damper on fans. </t>
  </si>
  <si>
    <t>Provide appropriate curb cuts to comply with federal ADA requirements and to provide safe, accessible means to and from City sidewalks.</t>
  </si>
  <si>
    <r>
      <t>Complete roof top unit work begun in stimulus project. Replace fans, duct work, unit heaters.  Provide gas detection system.</t>
    </r>
    <r>
      <rPr>
        <sz val="8"/>
        <rFont val="Calibri"/>
        <family val="2"/>
        <scheme val="minor"/>
      </rPr>
      <t xml:space="preserve"> </t>
    </r>
  </si>
  <si>
    <t>Provide covered storage for vehicles and equipment.  Covered storage extends life of vehicles and equipment</t>
  </si>
  <si>
    <t>Replace/repair EPDM roof.  Replace damaged roof panels.</t>
  </si>
  <si>
    <t>Phased project.  Current maps are deteriorating rapidly. A new storage system would allow DPW to store maps after scanning.</t>
  </si>
  <si>
    <t>Eliminate deteriorated roadway condition and improve public safety.  Arterial minor.  Federal funds for constr only.  Design funded by City.</t>
  </si>
  <si>
    <t>Eliminate deteriorated roadway condition, improve public safety and restore Comm Ave to previous boulevard status. Arterial minor.</t>
  </si>
  <si>
    <t>Replace wood truss members.  Add brace supports at ends to prevent walls from buckling. Repair wood buttresses and extend push wall 10' higher to keep weight of salt off exterior wall.</t>
  </si>
  <si>
    <t>Eliminate deteriorated roadway condition and enhance public safety. Arterial minor. Federal funds for constr only.  Design funded by City.</t>
  </si>
  <si>
    <t>Remove diesel and heating oil tanks, replace with tanks from Countryside Schl. Abate room.  Gas conversion and and other mech. work in future renovation work.</t>
  </si>
  <si>
    <r>
      <t>Replace emergency generator</t>
    </r>
    <r>
      <rPr>
        <sz val="8"/>
        <color rgb="FFFF0000"/>
        <rFont val="Calibri"/>
        <family val="2"/>
        <scheme val="minor"/>
      </rPr>
      <t xml:space="preserve"> </t>
    </r>
    <r>
      <rPr>
        <sz val="8"/>
        <color theme="1"/>
        <rFont val="Calibri"/>
        <family val="2"/>
        <scheme val="minor"/>
      </rPr>
      <t>which is at the end of it useful life.  Install life/safety equipment stored in Wires Division.</t>
    </r>
  </si>
  <si>
    <t>Remove existing windows and replace w/energy efficient insulated units(64ea). Repair and repoint exterior masonry to preserve building envelope.</t>
  </si>
  <si>
    <t>Remove fuel storage tanks and convert to gas.  Other mechanical work to be done as part of future building renovation.</t>
  </si>
  <si>
    <t>5th station of 7 buildings to be renovated.  Work includes building envelope, interior finishes, mechanical, electrical, plumbing, life/safety, ADA upgrades.</t>
  </si>
  <si>
    <t>6th station of 7 buildings to be renovated. Work includes mechanical, electrical, plumbing, code compliance and accessibility upgrades.</t>
  </si>
  <si>
    <t>Interior air handler replacement, pneumatic DDC controls conversion, replace chiller controls, repair/restore ice tank system.</t>
  </si>
  <si>
    <t>All Health Dept Building Recommended work.  Envelope is highest need.  Building is in re-use process.</t>
  </si>
  <si>
    <t>Replace Roof Top Mechanical equipment that is beyond its useful life.  Currently requires a lot of maintenance and service calls.</t>
  </si>
  <si>
    <t>Replace emergency generator with smaller unit and install battery back-up emergency egress lighting system. Upgrade elec service/ panels.</t>
  </si>
  <si>
    <t>Repair, repoint and clean exterior masonry.  This is Phase II of work begun in FY13.</t>
  </si>
  <si>
    <t>On-going program to repair and repoint exterior masonry to preserve building envelope. Address worst areas first.</t>
  </si>
  <si>
    <t>Replace two 60 year old boilers and variable air volume (VAV) coil work.</t>
  </si>
  <si>
    <t>Restore/replace historic exterior doors and windows.  Weatherstrip and seal for energy efficiency.  Window bay foundation repairs.</t>
  </si>
  <si>
    <t>Replace generator with emergency battery back-up system. Update system for ADA compliance. Upgrade exterior lighting &amp; occupancy sensors.</t>
  </si>
  <si>
    <t>Library used as cooling station for residents.  Existing energy agreement mandates peak usage on auxillary power when regional demand is high extreme.</t>
  </si>
  <si>
    <t>Upgrade entrance ramp, elevator, toilet rooms, and door hardware for accessibility.</t>
  </si>
  <si>
    <t>Replace interior air handlers in first year. Direct Digital Controls conversion.</t>
  </si>
  <si>
    <t>Replace Roof top air handling units and distribution system</t>
  </si>
  <si>
    <t>Replace RTUs at Annex, Direct Digital Control  conversion</t>
  </si>
  <si>
    <t>Hot water conversion w/renovation, 2nd boiler and distribution system.</t>
  </si>
  <si>
    <t>Replace boilers, hot water conversion, and Direct Digital Control conversion.</t>
  </si>
  <si>
    <t>Upgrade hardware, toilet rooms, and water fountains for accessibility.</t>
  </si>
  <si>
    <t>Upgrade toilet rooms, door hardware, water fountains, and signage for accessibility.</t>
  </si>
  <si>
    <t>Upgrades to electrical panels and sub-panelsn and  emergency generator</t>
  </si>
  <si>
    <t>Upgrade door hardware, openings, toilet rooms, railings, and signage for accessibility.</t>
  </si>
  <si>
    <t>Replace electric panels and sub-panels.</t>
  </si>
  <si>
    <t>Upgrades toilet rooms and water fountains.</t>
  </si>
  <si>
    <t>Replace electric panels and sub-panels</t>
  </si>
  <si>
    <t>Replace 2nd boiler and  replace modular roof top air handling units</t>
  </si>
  <si>
    <t>Replace windows in gym wing and storefront system.</t>
  </si>
  <si>
    <t>Upgrade existing elevator for code compliance, signage, hardware, and reconfigure locker rooms for accessibility.</t>
  </si>
  <si>
    <t xml:space="preserve">Restore existing windows and doors as historically appropriate.   </t>
  </si>
  <si>
    <t>Install code-compliant sprinkler system in building in conjunction with any major building upgrade or addition.</t>
  </si>
  <si>
    <t xml:space="preserve">Repoint exterior masonry walls as required. Repair, reset and regrout main granite front stairs. Repair stone veneer at main entry.     Rebuild rear right side areaway and stairs. </t>
  </si>
  <si>
    <t>Restore/replace existing slate roof, gutters, and downspouts.  Replace existing flat roof with new membrane roof and provide proper roof drains.</t>
  </si>
  <si>
    <t>Replace Fire Department SCBA Gear</t>
  </si>
  <si>
    <t xml:space="preserve">Replace Engine 3, a 2004 Pumper Truck; to be used as spare to replace spare Engine 14, a 1992 pumper that should no longer be used.  </t>
  </si>
  <si>
    <t>Replace 1996 F800 with 165K miles on it.  Not cost effective to keep it on the road. Safety components are failing, putting personnel at risk.</t>
  </si>
  <si>
    <t>Replace Ladder 2. 15 years old. Maxed out on life expectancy; to be used as spare to replace Spare Ladder 5 a 1985 ladder to be taken out of service.</t>
  </si>
  <si>
    <t>Replace Ladder 3. 15 years old. Ladder 3 becomes a spare, replacing spare Ladder 4.</t>
  </si>
  <si>
    <t>Current equipment has been in service since 2006. Essential for emergency response and hazardous tree removal.</t>
  </si>
  <si>
    <t>Sewer Inflow /Infiltration Project - Lower Falls Area</t>
  </si>
  <si>
    <t>Sewer Inflow /Infiltration Project - Chestnut Hill Area</t>
  </si>
  <si>
    <t>Sewer Inflow /Infiltration Project - Newton Centre</t>
  </si>
  <si>
    <t>Sewer Inflow /Infiltration Project - Nonantum Area</t>
  </si>
  <si>
    <t>Part of 12 yr $49.1 M program to remove excess inflow and infiltration into sewer system.  Design (FY14) and constr (FY15) for Lower Falls area.</t>
  </si>
  <si>
    <t>Part of 12 yr $49.1 M program to remove excess inflow and infiltration into sewer system.  Design (FY15) and constr (FY16) for Chestnut Hill area.</t>
  </si>
  <si>
    <t>Part of 12 yr $49.1 M program to remove excess inflow and infiltration into sewer system.  Design (FY16) and constr (FY17) for Newton Centre area.</t>
  </si>
  <si>
    <t>Part of 12 yr $49.1 M program to remove excess inflow and infiltration into sewer system.  Design (FY17) and constr (FY18) for Nonantum area.</t>
  </si>
  <si>
    <t>DPW - Replace 1985 Excavator</t>
  </si>
  <si>
    <t>DPW - Replace 1997 Backhoe</t>
  </si>
  <si>
    <t>Replacement of existing city vehicle/ equipment used for collecting trash/recycling in Parks &amp; Village Centers. (#52)</t>
  </si>
  <si>
    <t xml:space="preserve">Replace 2008 Backhoe  </t>
  </si>
  <si>
    <t>Year three of 3 year program to replace and repair water pipes in order to meet ISO fire flow standards which are currently defficient.</t>
  </si>
  <si>
    <t>Replace Total Building 1986 Built up roof area.It has almost reached its life expectancy. It is over 25 years of age</t>
  </si>
  <si>
    <t xml:space="preserve">Replace Total Building 1986 Built up roof area.  Roof has reached its life expectancy. </t>
  </si>
  <si>
    <t xml:space="preserve">Replace of 1950's portion of the building's roofing system as it has reached its life expectancy. </t>
  </si>
  <si>
    <t>Replace the 1990's Sarnifil roofing system on the main portion of the building. Existing roof has reached its life expectancy.</t>
  </si>
  <si>
    <t>Replace Flat Gym 1980's built up roofing system.  It has reached its life expectancy.</t>
  </si>
  <si>
    <t xml:space="preserve">Replace 1980's Built up roof area.  It has reached its life expectancy. </t>
  </si>
  <si>
    <t>Replace PVC roof installed in the 1990's as required.  It has reached life expectancy. Repair water divertor above support service door.</t>
  </si>
  <si>
    <t>Replace whole building roof in 2 phases.</t>
  </si>
  <si>
    <t>Repair poorly functioning gate valve used to regulate water storage capacity in City Hall ponds for stormwater.</t>
  </si>
  <si>
    <t>Dedham, Prince, Berkeley, Cherry, Highland Ave, Grafton, Bald Pate, Waban, Lyman, Lee, Colbert, East Colbert, Oak Cliff, Whittier, Paul, Allerton, Locksley, Rotherwood, Woodcliff, Rockledge, Miller, Cloverdale, Payne, Langdon, Highland Street (Washington to Chestnut)</t>
  </si>
  <si>
    <t>Street Paving - Cold Plane and Pave 21 Streets</t>
  </si>
  <si>
    <t>Street Paving - Cold Plane and Pave 20 Streets</t>
  </si>
  <si>
    <t>Street Paving - Cold Plane and Pave 18 Streets</t>
  </si>
  <si>
    <t>Street Paving - Cold Plane and Pave 26 Streets</t>
  </si>
  <si>
    <t>Cleaning and lining of water pipes to improve water quality, ensure pipe integrity and capacity. Precedes scheduled roadway paving.</t>
  </si>
  <si>
    <t>Add ADA compliant access route to a portion of Newton Centre Playground.  Approved for CDBG funding by City Commission on Disability.</t>
  </si>
  <si>
    <t xml:space="preserve">Replace 4 existing tennis courts at Weeks Playground. </t>
  </si>
  <si>
    <t>Replace 4 existing tennis courts at McGrath Playground (Warren).</t>
  </si>
  <si>
    <t>Replace 3 existing tennis courts at this location.  Courts have deteriorated.</t>
  </si>
  <si>
    <t>2008 Master Plan for park renovation in 2 phases. Ph II will complete the fields to provide tennis courts and football field.</t>
  </si>
  <si>
    <t>Master Plan for park renovation - Construction will include new athletic fields, new play structure and sitework and improvements.</t>
  </si>
  <si>
    <r>
      <t>Streetlights - Gaslight Conversion for Energy Efficiency</t>
    </r>
    <r>
      <rPr>
        <b/>
        <sz val="8"/>
        <color rgb="FFFF0000"/>
        <rFont val="Calibri"/>
        <family val="2"/>
        <scheme val="minor"/>
      </rPr>
      <t xml:space="preserve"> </t>
    </r>
  </si>
  <si>
    <t>Repave Pearl Street Parking Lot</t>
  </si>
  <si>
    <t>Repave Pearl Street municipal parking lot which is in poor condition.</t>
  </si>
  <si>
    <t>Repaint steel framing in attic.  Repair deteriorated concrete and CMU. Upgrade lighting and install new acoustical ceilings.</t>
  </si>
  <si>
    <t>Gath Pool - New Swim Facility Design and Construction</t>
  </si>
  <si>
    <t>Memorial Spaulding School - Replace Roof</t>
  </si>
  <si>
    <t>Memorial Spaulding School - Accessibility Upgrades</t>
  </si>
  <si>
    <t>Memorial Spaulding School - Mechanical Upgrades</t>
  </si>
  <si>
    <t>Roads include Lowell, Melrose, Staniford, Freeman, Lake, Crystal, Berwick, Oak, Grove, Central, Bridge, Temple, Walnut, Linwood, Walnut Pl, Newtonville, Daniel, Ridge, Collins</t>
  </si>
  <si>
    <t>Streets include Vernon, Eldredge, Elmwood, Beacon, Pembroke, Durant, Hanson, Bishopsgate, Hammondswood, Monadnock, Otis, Adams, Circuit, Converse, Ruthven, Albemarle, Cottage Street</t>
  </si>
  <si>
    <t>Station built 1950, rehabbed in 1992.  Contains 2 (5 hp) pumps. Replace wet well.</t>
  </si>
  <si>
    <t>Streets include Crafts, Ward, Morton, Parker, Varick, Annawan, Bennington, Bound Brook, Tower, Henshaw St, Henshaw Ter, Kilburn, Vine, Fuller, Town House Dr, Mill, Glen, Stiles, Westminster, Deforest, Pine Grove, Clearwater</t>
  </si>
  <si>
    <t>Replace entire building roof system.  Roof is beyond its useful life.</t>
  </si>
  <si>
    <t>Upgrade electric service, panels and sub-panels to support IT server room and other building functions.</t>
  </si>
  <si>
    <t>Information Technology</t>
  </si>
  <si>
    <t>Auburndale Library -Accessibility and Site Upgrades</t>
  </si>
  <si>
    <t>Electrical and lighting upgrades for code compliance and to improve energy efficiency.  Replace electric panel.</t>
  </si>
  <si>
    <t>Remove existing exterior wood doors and frames and replace with new doors and hardware.  Repair/replace building windows.</t>
  </si>
  <si>
    <t xml:space="preserve"> Work includes electrical, toilet rooms, and building envelope repairs/improvements</t>
  </si>
  <si>
    <t>Project to fully upgrade existing building or replace with new structure.</t>
  </si>
  <si>
    <t>Upgrade toilet rooms, elevator, door hardware and signage for accessibility</t>
  </si>
  <si>
    <t>Upgrades to toilet rooms, signage, hardware, railings and assembly spaces for accessibility.</t>
  </si>
  <si>
    <t>Replace the total building roofing system installed in the 1980's.</t>
  </si>
  <si>
    <t xml:space="preserve">Restore/Replace windows in phases to improve energy efficiency, functionality and comfort, and to preserve exterior wall.   </t>
  </si>
  <si>
    <t>City Hall - Kitchen Mechanical Upgrades</t>
  </si>
  <si>
    <t>Upgrade toilet rooms and water fountains,and  add fixtures per code requirements.</t>
  </si>
  <si>
    <t>Upgrade toilets, signage, door hardware, and accessible entrance.</t>
  </si>
  <si>
    <t>Crafts St DPW Operations (Stable) - Restore Building Envelope, Windows &amp; Roof</t>
  </si>
  <si>
    <t xml:space="preserve">Preserve historic building envelope. Repoint/repair lintels, sills and brick veneer.  Restore/replace windows, doors and roof and cupola as historically appropriate. </t>
  </si>
  <si>
    <t>Existing bathhouse is in poor condition and is not accessible.  Renovate/Replace bathhouse and improve site.</t>
  </si>
  <si>
    <t>Boiler upgrades per code reqts. Replace unit heaters and finned tube heaters. Upgrade bathrooms. Replace water heater.</t>
  </si>
  <si>
    <t>Repair cracks (100 SF); repoint mortar joints (40% of building)•Repaint steel framing in attic (30% of steel surface area)</t>
  </si>
  <si>
    <t>Upgrade toilet rooms, install accessible door hardware and drinking fountains; Resurface main entrance ramp and install handrails.</t>
  </si>
  <si>
    <t>Install an elevator to provide access to all floors.•Install tactile and Braille signage mounted adjacent to latch side door at all permanent rooms and exits.•Insulate pipes to protect against contact; Install an accessible toilet room on the 2nd floor; Reposition side grab bar so it extends 54" from side of wall.•Replace door hardware with hardware that does not require tight grasping, pinching, or twisting; Install an automatic door opener for the classroom door or modify the existing door to have 18" clear for maneuvering on the latch side of the door; Install wheelchair accessible drinking fountains; Remove cabinates below sink to provide knee clearance and reposition sink so it is mounted 34" AFF; Install ADA-compliant stair handrails; Replace faucet controls with controls that do not require tight grasping, pinching, or twisting.•Resurface main entrance ramp and install wheel rail to meet ADA requirements; Install handrails on both sides of main entrance stair.Replace all toilet and urinal fixtures which are in poor condition (12ea) for those bathrooms which will still be used as bathrooms and remove all abandonned fixtures.•Replace all bathroom sinks which are in poor condition (4ea) for those bathrooms which will still be used as bathrooms and remove all abandonned sinks.•. Is this a duplicate? Completely renovate bathrooms which are still being used as bathrooms with new accessories (5ea).  Demolish and cap waste and vents for bathrooms which no longer being used as bathrooms.</t>
  </si>
  <si>
    <t xml:space="preserve">Upgrades for ADA Compliant elevator, toilet rooms, door hardware, and signage </t>
  </si>
  <si>
    <t>Upgrade Toilet rooms, Water fountains, Door hardware and signage for accessibility.</t>
  </si>
  <si>
    <t>Gath Pool - Electrical and Mechanical Upgrades</t>
  </si>
  <si>
    <t>Upgrade fire alarm and egress lighting. Replace electrical panels. Install exhaust fans. Replace Heater Pump, piping and fittings.</t>
  </si>
  <si>
    <t>Upgrade toilet rooms, water fountains and door hardware for accessibility.</t>
  </si>
  <si>
    <t>Replace Septic System by connecting to City Sewer Infrastructure.</t>
  </si>
  <si>
    <t>Kennard Estate-Building Envelope, Windows and Doors</t>
  </si>
  <si>
    <t>Replace shingles and flashings. Repair foundation walls. Replace wood windows and shutters with historic, appropriate units.</t>
  </si>
  <si>
    <t>Replace asphalt shingles, wood mansard shingles and flashings (2100sf). Replace wood, metal lined gutters and galv. downspouts. (140lf)Repair concrete basement floor and fill voids, seal floor(900sf). Remove wood sleepers embedded in concrete floor and pour new concrete floor(300sf.•Point and paint water stop at foundation walls(11,200sf). Repair corner of stone foundation wall (15lf). Paint exterior of stone foundation wall and seal(500sf).Replace wood windows, storms and shutters with insulated historically appropriate window units (53ea).•Replace bulkhead door to basement (1ea).•Replace rear hall and back porch doors and storms (2ea).</t>
  </si>
  <si>
    <t xml:space="preserve">Provide accessible parking spaces and install accessible entrance ramp. </t>
  </si>
  <si>
    <t>Upgrade toilet rooms, door hardware, elevator, entrance ramp, and signage for accessibility.</t>
  </si>
  <si>
    <t>Lower Falls Community Center - Replace Gym Floor</t>
  </si>
  <si>
    <t>Upgrade lighting and power distribution.  Update fire alarm horn strobes and beacons.</t>
  </si>
  <si>
    <t>Replace controls, air handlers.  Replace 2nd boiler, hot water conversion, and Direct Digital Controls conversion.</t>
  </si>
  <si>
    <t>Newton Corner Parks &amp; Rec Headquarters - Exterior Windows &amp; Doors</t>
  </si>
  <si>
    <t>Newton Corner Parks &amp; Rec Headquarters - Building Envelope</t>
  </si>
  <si>
    <t>Newton Corner Parks &amp; Rec Headquarters - Site/ Accessibility Upgrades</t>
  </si>
  <si>
    <t>Newton Corner Parks &amp; Rec Headquarters - Roof Restoration/ Replacement</t>
  </si>
  <si>
    <t>Upgrades to  Lighting and controls</t>
  </si>
  <si>
    <t>Replace baseboard heating on first floor. Provide pipe insulation. Replace air handling unit in basement with new controls.     Provide exhaust fan, 150 CFM in basement mens room. Interlock controls with light.•Provided new attic exhaust fan to match outside air flow of new supply unit in mechanical room.•Provide exhaust fan, 75 CFM in first floor womens room. Interlock controls with light.•Provide exhaust fan, 75 CFM in first floor mens room. Interlock controls with light.•Provide combustion air system for boiler. Replace venting.</t>
  </si>
  <si>
    <t>Upgrade interior lighting and power distribution. Replace electrical panel and main electrical service.</t>
  </si>
  <si>
    <t>Reconfigure entry vestibules and reconstruct ADA compliant ramp;  Upgrades for toilet rooms and drinking fountain.</t>
  </si>
  <si>
    <t>Nonantum Library-Roofs and Building Envelope</t>
  </si>
  <si>
    <t>Remove slate roof and replace with new roof (3600sf). Install new gutters and downspouts (200lf).•Remove existing flat roof and replace with new membrane roof(1200sf).Scrape, prepare surfaces and repaint woodwork at side entry panels and concrete wall areaway to basement (500sf).•Repair joint at base of masonry wall to concrete foundation(250lf)•Scrape, prepare surfaces and paint small roof dormer vents(2ea).•Repair damaged and rotted sections of wood cornice, scrape, prepare surfaces and repaint entire wood cornice (300lf).•Rebuild Bridge Street concrete stairs (4r) and rebuild accessible ramp with new handrails per code (30lf).  Rebuild main entry granite stars (5r).  Install metal hand rails (40lf).•Repair concrete areaway stairs as required(14r). Repair areaway drain(1ea) Repair, paint wood areaway fence.(15lf).</t>
  </si>
  <si>
    <t>Sanitary piping is deteriorating. Upgrades to toilet rooms and water fountains</t>
  </si>
  <si>
    <t>Upgrades to door hardware, toilet rooms, railings, and signage for accessibility.</t>
  </si>
  <si>
    <t>Replace boiler, remove underground storage tank.   Convert to gas, provide new heating controls, fans and heaters in future.</t>
  </si>
  <si>
    <t>Provide accessible toilet rooms, door hardware, signage and a hi-low drinking fountain. Resurface and re-grade path         to play area.</t>
  </si>
  <si>
    <t>Replace lower roofing membrane,  gutters and downspouts. Replace upper Gym membrane roof with a new EPDM roof.</t>
  </si>
  <si>
    <t>Replace windows and security screens with new insulated windows and new security screens.  Repair and repoint masonry walls and restore murals.</t>
  </si>
  <si>
    <t>Upgrade lighting and power distribution for energy efficiency.  Provide protective cages over gym fixtures.  Replace electric panels.</t>
  </si>
  <si>
    <t>Police Annex - Accessibility Upgrades</t>
  </si>
  <si>
    <t>Provide accessible toilet rooms, door hardware, signage and drinking fountain.  Provide a lower transaction counter.</t>
  </si>
  <si>
    <t>Police Annex - Exterior Windows &amp; Doors &amp; Building Envelope</t>
  </si>
  <si>
    <r>
      <rPr>
        <sz val="8"/>
        <rFont val="Calibri"/>
        <family val="2"/>
        <scheme val="minor"/>
      </rPr>
      <t>Restore/replace</t>
    </r>
    <r>
      <rPr>
        <sz val="8"/>
        <color theme="1"/>
        <rFont val="Calibri"/>
        <family val="2"/>
        <scheme val="minor"/>
      </rPr>
      <t xml:space="preserve"> windows and doors with historically appropriate energy efficient units. Repoint exterior brick and entry ramp.  Repair stone lintels.</t>
    </r>
  </si>
  <si>
    <r>
      <rPr>
        <sz val="8"/>
        <rFont val="Calibri"/>
        <family val="2"/>
        <scheme val="minor"/>
      </rPr>
      <t xml:space="preserve">Repair/Replace </t>
    </r>
    <r>
      <rPr>
        <sz val="8"/>
        <color theme="1"/>
        <rFont val="Calibri"/>
        <family val="2"/>
        <scheme val="minor"/>
      </rPr>
      <t>all windows and prepare wood for painting and replace all hardware (59ea).Remove basement interior drywall, paint wall with water-stop paint, and reinstall mold-resistant perimeter walls (5000sf). Remediate mold issue in the basement.•Repoint 30% of the brick façade, including chimneys. Repair main entry ramp, point joints that are opening, repair cracks, reattach light fixtures(300sf). Add handrail on building side of areaway ( 15lf). Repair concrete door threshold(1ea).•Repair stone lintels using historically appropriate patching and crack repair techniques (100 LF).•Clean out areaways (4ea). Install area way grates(120sf).•Scrape, prepare surface and paint wood gable ends, and wood dentals (1100sf).</t>
    </r>
  </si>
  <si>
    <t>Police Headquarters - Repair Concrete</t>
  </si>
  <si>
    <t xml:space="preserve">Replace electrical distribution panels and main electrical service. Upgrade Telcom and Electrical infrastructure to BICSI and Electrical code.Replace interior lights to improve light levels and energy efficiency. </t>
  </si>
  <si>
    <t>Upgrade Distribution system, controls, and remove underground tank.</t>
  </si>
  <si>
    <t>Upgrade or replace building.  Work includes lighting, toilet rooms, roofing and envelope repairs.</t>
  </si>
  <si>
    <t>Upgrade toilet rooms, Replace door hardware;  Modify door at stairwell or install automatic door opener.</t>
  </si>
  <si>
    <t>Restore exterior wood door and install panic hardware. Replace areaway and rear door.  Restore windows.</t>
  </si>
  <si>
    <t xml:space="preserve">Replace electrical panel. Replace exterior lighting to improve safety. Replace main electric service and wiring.Upgrade lighting to improve energy efficiency. </t>
  </si>
  <si>
    <t>Replace main entry walk and foundation walls and install railing.  Rebuild side stairs at main entry. Rebuild stairs at rear entry.   Install hand rail on one side of rear entry wall.•Repair flashing of parapet walls.</t>
  </si>
  <si>
    <t>Waban Library-Accessibility Upgrades</t>
  </si>
  <si>
    <t>Waban Library-Building Envelope and Entrance</t>
  </si>
  <si>
    <t>Hot water conversion and distribution as part of future major renovation.  (Could also keep the steam system for approx $500K).     Include in major renovation.</t>
  </si>
  <si>
    <t>Deferred due to paving. Replace 1,150 LF of 6" water main with 8", 1905.  This precedes scheduled roadway paving.</t>
  </si>
  <si>
    <t>Deferred.  Replace 1048 LF of 6" water main with 8", 1877.  This precedes scheduled roadway paving.</t>
  </si>
  <si>
    <t>Burr School - Sitework Sidewalk Ramp Repairs</t>
  </si>
  <si>
    <t>City Hall - Increase City Clerk Archive Storage</t>
  </si>
  <si>
    <t>Deferred due to paving. Waltham to Wolcott (FY14). Cleaning and lining 3,150 LF of 8" water main, 1932.  This precedes scheduled roadway paving.</t>
  </si>
  <si>
    <t>Schools - Repave Parking Areas</t>
  </si>
  <si>
    <t>DPW - Replace 1998 Front End Loader</t>
  </si>
  <si>
    <t>DPW - Replace 1984 Do All Large Construction Truck</t>
  </si>
  <si>
    <t>Replace 2 vehicles taken out of service: Vehicle #73 and #40.  Required for sanding fleet for snow and for construction work.</t>
  </si>
  <si>
    <t>Replacement of existing city vehicle/ equipment used for street &amp; sidewalk repairs.  (#110)  Beyond usefull life expectancy.</t>
  </si>
  <si>
    <t>Replace vehicles out of service: Vehicle #101 (1993) and #69 (1983)  Required for sanding for snow and for construction work.</t>
  </si>
  <si>
    <t>Replacement of existing city vehicle/ equipment used for street &amp; sidewalk repairs. (#120) at useful life expectancy.</t>
  </si>
  <si>
    <t>DPW - Replace 1994 Packer Trash Collection Vehicle</t>
  </si>
  <si>
    <t>Replacement of existing city vehicle/ equipment used to load materials for street &amp; sidewalk repairs. (#104)</t>
  </si>
  <si>
    <t>Replacement of vehicle taken out of service: Vehicle #148.  Dept will not have minimum (6 ea) needed for 4 sweeps/yr efficiently.</t>
  </si>
  <si>
    <t>Replacement of existing city vehicle/ equipment used for street &amp; sidewalk construction and snow removal operations. (#87)</t>
  </si>
  <si>
    <t>Replace 1995 Sewer Jet Truck</t>
  </si>
  <si>
    <t>Replacement of vehicle/ equipment used to clear out blockages in the sewer system to prevent sewer backups. (#369).</t>
  </si>
  <si>
    <t>Replace 2004 Construction Truck</t>
  </si>
  <si>
    <t>Replace Construction Truck</t>
  </si>
  <si>
    <t>Replacement of existing city vehicle used for construction work on City water mains and for snow removal/sanding operations.         Life span of vehicles is 15 yrs (#310).</t>
  </si>
  <si>
    <t>Replacement of existing city vehicle used for construction work on City water mains and for snow removal/sanding operations.         Life span of vehicles is 15 yrs</t>
  </si>
  <si>
    <t>Replacement of existing city vehicle/ equipment used in water line repairs and maintenance  (#328)</t>
  </si>
  <si>
    <t>Prairie Avenue Sewer Pump Station</t>
  </si>
  <si>
    <t>Quinobequin Road Sewer Pump Station - Replace Pump</t>
  </si>
  <si>
    <t>Hamlet Street Sewer Pump Station - Replace Pumps</t>
  </si>
  <si>
    <t>Sewerage pumped to higher point and gravity fed to MWRA pipes for treatment. Replace pump 1 and motors at life expectancy.</t>
  </si>
  <si>
    <t>Sewerage is pumped to a higher point and gravity fed to MWRA pipes for treatment. Replace pumps and motors.</t>
  </si>
  <si>
    <t>Replace 60 hp pump in Fire Station #10; boosts water pressure in high areas of City.   Pumps fill Oak Hill Tank. Coord w/construct.</t>
  </si>
  <si>
    <t>Deferred.  Cleaning and lining 760 LF of 8" water main, 1880.  This precedes upcoming TIP funded road reconstruction project.</t>
  </si>
  <si>
    <t>Storm drain pipe has partially collapsed and requires repair to prevent flooding.</t>
  </si>
  <si>
    <t>Rehabilitation of Forest Grove Storm System Pump Station </t>
  </si>
  <si>
    <t>Repair of culverts along Laundry Brook to prevent flooding.</t>
  </si>
  <si>
    <t>Replace existing pipe which has settled and is causing flooding.</t>
  </si>
  <si>
    <t>Repair, upgrade kitchen equipment and stove ventilation in cafeteria kitchen to comply with current code requirements.</t>
  </si>
  <si>
    <t>City Hall - Plumbing and Accessiblity Improvements</t>
  </si>
  <si>
    <t xml:space="preserve">Upgrade toilet rooms for improved accessibility as required by code. </t>
  </si>
  <si>
    <t>Renovate toilet rooms and replace cold and hot water piping as required.  Provide insulation for all piping.</t>
  </si>
  <si>
    <t>There has been continuing deterioration of the space as it passes its 75th anniversary.  Desks and chairs need restoration. Aldermen are unable to effectively use electronic devices due to limited number of power outlets.  Lighting is inadequate for NewTV to effectively capture images for broadcast.  The sound system is also inadequate and may need to be rewired.  There continues to be the  need to provide appropriate access to Legislative meetings.Restore, Repair and Refinish wood floors and historic woodwork in chamber.  Repair water damage to ceiling and walls and paint walls and ceiling, improve lighting, improve sound system, impprove accessibility, and install additional electrical capacity to allow use of electronic devices and add air conditioning.</t>
  </si>
  <si>
    <t xml:space="preserve">Upgrade Historic Board Chamber to improve mechanical, electrical, audio/visual systems and lighting and interior finishes. </t>
  </si>
  <si>
    <t>Plan installation of sprinkler system and addressable fire alarm upgrades  in City Hall in conjunction with other building upgrades.</t>
  </si>
  <si>
    <r>
      <t>Replace emergency generator</t>
    </r>
    <r>
      <rPr>
        <sz val="8"/>
        <color rgb="FFFF0000"/>
        <rFont val="Calibri"/>
        <family val="2"/>
        <scheme val="minor"/>
      </rPr>
      <t xml:space="preserve"> </t>
    </r>
    <r>
      <rPr>
        <sz val="8"/>
        <color theme="1"/>
        <rFont val="Calibri"/>
        <family val="2"/>
        <scheme val="minor"/>
      </rPr>
      <t>which is at the end of it useful life.•Replace Ground floor panelboards with (3) new 42 Circuit systems.•Install (6) all-weather GFI to outside of building.•Replace all T-8 Flourescent lighting to super T-8 to improve energy efficiency.  Replace all incandescent/CFL fixtures with more energy efficient fixtures such as high efficiency LED.•Replace all exterior lighting (6 wall pack units) to improve safety &amp; security.  Include a lighting controller system to improve energy efficiency.•Install audible alarms to meet ADA requirements in all areas of the building, in particular, the toilets and sleeping areas.•Add more kitchen outlets to address blown fuses.•Expand kitchen electrical circuitry to dedicated circuits to the areas hit by blown fuses.•Replace electrical service and associated panels. Install life/safety equipment already purchased and stored in Wires Division.</t>
    </r>
  </si>
  <si>
    <t>Repave parking areas and sidewalks in poor condition at Ward, Brown, Underwood, Mason Rice, Oak Hill, Williams, Zervas and Peirce.</t>
  </si>
  <si>
    <t>Upgrade electrical panels and distribution system.</t>
  </si>
  <si>
    <t xml:space="preserve">Newton Highlands Playgrnd - Ph I Design &amp; Construction </t>
  </si>
  <si>
    <t xml:space="preserve">Newton Upper Falls/ Braceland Playground - Design &amp; Construction </t>
  </si>
  <si>
    <t>Replace Engine 7 pumper truck.  Engine 7 will become a spare.</t>
  </si>
  <si>
    <t>Replace Parks Dump Truck (replace 1998 truck #430)</t>
  </si>
  <si>
    <t>Provide curb cuts to comply with federal ADA requirements and to provide safe, accessible means to and from City sidewalks.</t>
  </si>
  <si>
    <t>CDBG Eligible</t>
  </si>
  <si>
    <t>Needham Street - Clean and Line Water Main - Oak to Charlemont</t>
  </si>
  <si>
    <t>Wolcott St - Replace Water Main at Wolcott St - Webster to Ionia</t>
  </si>
  <si>
    <t>Direct Digital Controls conversion and upgrade heating distribution system.</t>
  </si>
  <si>
    <r>
      <t>Health Department Bldg - (</t>
    </r>
    <r>
      <rPr>
        <b/>
        <sz val="8"/>
        <rFont val="Calibri"/>
        <family val="2"/>
        <scheme val="minor"/>
      </rPr>
      <t>ReUse Consideration)</t>
    </r>
  </si>
  <si>
    <t>FY14 feasibility study.  Project will address aging systems, access, sprinklers, and space needs.  Include cost to move to Carr and back to Cabot.  $7.5M anticipated from MSBA.   Anticipate high maintenance costs on mechanical system until building is renovated.</t>
  </si>
  <si>
    <t xml:space="preserve">FY14 feasibility study.  Project to address space needs due to growing enrollment, bldg systems, access.  Include cost to move to Carr and back to Zervas  </t>
  </si>
  <si>
    <t>Wall integrity is jeopardized.  Project to minimize property damage due to flooding from heavy rains and compromised conveyance systems.  Phase I is survey.</t>
  </si>
  <si>
    <r>
      <t xml:space="preserve">Replace condensing units.  Replace and insulate ductwork and replace fans.  </t>
    </r>
    <r>
      <rPr>
        <sz val="8"/>
        <rFont val="Calibri"/>
        <family val="2"/>
        <scheme val="minor"/>
      </rPr>
      <t>Add mini-split A/C units in conjunction with window restoration /replacement.</t>
    </r>
  </si>
  <si>
    <t>Study options for repair /replacement. Steam system has failed.  $50K/yr to address steam leaks.  Hot water conversion in next ten years ($2M). Periodically causes moisture problem.</t>
  </si>
  <si>
    <t>Phased project.  Current maps are deteriorating rapidly. A new storage system would allow DPW to store maps after scanning. Proposed to be a phased project.</t>
  </si>
  <si>
    <t xml:space="preserve">Repair broken roof slates. Reflash where leaks are occurring.  Repair/replace gutters and downspouts. Pitch rain leaders away from bldg. Repair concrete ramp. Grout railing bases.  Repair foundation walls. Replace concrete stairs.   </t>
  </si>
  <si>
    <t xml:space="preserve">Replace outdated / failing City Pool Facility.  Existing bldg naturally vented to outside putting pipes and interior surfaces at risk of failure.      </t>
  </si>
  <si>
    <t>Upgrade / replace egress lighting and exit signage per code. Upgrade audible fire alarm and strobes to ADA compliance. Replace receptacles, conduit, electric panels.</t>
  </si>
  <si>
    <t>Remove and replace slate roofing, gutters and downspouts. Install new EPDM Roof.  Reattach downspouts.</t>
  </si>
  <si>
    <r>
      <t xml:space="preserve">Replace duct mounted steam coils and baseboard heaters. Replace ductwork with insulated ductwork.  Provide make up air dampers and control for emergency generator.  Replace boiler induced-draft fan and replace corroded section of breeching.  Provide 75 CFM exhaust fans in mens and womens toilet rooms.•Replace air handler with new fan coil unit. Provide pad for unit to prevent water damage to unit or return ductwork.•Insulate steam and condensate piping in boiler room.•Provide damper and controls for combustion air opening for boiler.  </t>
    </r>
    <r>
      <rPr>
        <sz val="8"/>
        <color rgb="FFFF0000"/>
        <rFont val="Calibri"/>
        <family val="2"/>
        <scheme val="minor"/>
      </rPr>
      <t>No baseboard heating.</t>
    </r>
  </si>
  <si>
    <t>Replace boiler with new steam oil-fired boiler. Replace breeching, combustion air dampers and ductwork.  Include heating zone and radiators in basement area.     Replace condensate pump with duplex condensate pump. Provide new insulated piping with new boiler system.•Provide condensate pump for dehumidifers with new PVC piping. Repipe condensate through window in boiler room.•Provide new insulation for supply ductwork. Provide grille or screen for return ductwork.  Provide wire mesh screen at inlets to ductwork.  Provide covers for transfer grilles on basement side.</t>
  </si>
  <si>
    <t xml:space="preserve">Repair front entry concrete. Install new side entry stairs and handrails. Remove and replace wood stairs.  Install vents throughout balance of soffits. </t>
  </si>
  <si>
    <t xml:space="preserve">Connect Garage to generator. Upgrade interior and exterior lighting for energy. Replace conduit, wiring, distribution panel.  Upgrade smoke/fire detection system. </t>
  </si>
  <si>
    <t xml:space="preserve">Paint corrugated metal shed roof. Install new roof shingles. Paint rafter ends and plywood.  Remove skylights and replace with solar light tubes. </t>
  </si>
  <si>
    <t>Install accessible toilet rm.  Enlarge landing at side entry and rebuild concrete paths.  Replace door hardware to be ADA compliant.  Replace handrails at basement entrance with ADA-compliant rails;  Modify basement door to provide 18" wide clear maneuvering space on the latch pull side of the door or install an automatic door opener.•Install a lowered transaction counter at circulation desk;  Replace door hardware with hardware that is operable without tight grasping, pinching or twisting (lever type);  Replace stairwell railings with ADA-compliant rails;  Install a ramp in the basement to provide an accessible route to all book store stacks.•Install an elevator to provide vertical access to all floors.</t>
  </si>
  <si>
    <t>Purchase Manet Road MWRA Resevoir</t>
  </si>
  <si>
    <t>Auburndale Library - Building Envelope and Roof</t>
  </si>
  <si>
    <t>Build/Upgrade Data Center</t>
  </si>
  <si>
    <t>Upgrade to Voice Over IP Phone System</t>
  </si>
  <si>
    <t>Create consolidated industry standard data center(s).  (HVAC, fire protection, virtual servers)</t>
  </si>
  <si>
    <t>Replace 12 year old phone systems with VOIP (data/voice) capable systems, allowing faster move-add-change and lower hardware costs.</t>
  </si>
  <si>
    <t>DPW Equipment Shelter - Crafts St</t>
  </si>
  <si>
    <t>Provide (new) covered storage for vehicles and equipment.  Covered storage extends life of vehicles and equipment</t>
  </si>
  <si>
    <t>Total Need:</t>
  </si>
  <si>
    <t>5-yr Total Funded:</t>
  </si>
  <si>
    <t xml:space="preserve">Station #3 needs major repairs/upgrades. Co-located w/ Fire HQs.  Upgrade systems for code compliance, access &amp; female firefighters.  </t>
  </si>
  <si>
    <t xml:space="preserve">Education Center - Exterior Masonry Work </t>
  </si>
  <si>
    <t>Replace the department Self-Contained Breathing Apparatus (SCBA), purchased in FY 2007.</t>
  </si>
  <si>
    <t>City Hall - Masonry Restoration of War Memorial Steps</t>
  </si>
  <si>
    <t>City Hall - Repair Front stone entry stairs and Accessible Ramp</t>
  </si>
  <si>
    <t>City Hall - War Memorial Auditorium HVAC Improvements</t>
  </si>
  <si>
    <t xml:space="preserve">Restore historic hall to improve mechanical &amp; electrical systems.  </t>
  </si>
  <si>
    <t>Replace Fire Dept Pumper Truck in Newton Corner  (Engine 1)</t>
  </si>
  <si>
    <r>
      <t xml:space="preserve">ESCALATED COSTS                                                                              </t>
    </r>
    <r>
      <rPr>
        <b/>
        <sz val="12"/>
        <color indexed="8"/>
        <rFont val="Calibri"/>
        <family val="2"/>
        <scheme val="minor"/>
      </rPr>
      <t>(Costs in FY2016-2019 are escalated 3.5% a year)</t>
    </r>
  </si>
  <si>
    <t xml:space="preserve">Station is in major need of repair.  </t>
  </si>
  <si>
    <t>Project includes energy conservation measures at Library, Franklin, Underwood, Cabot Schools thru NSTAR preferred vendor program.</t>
  </si>
  <si>
    <t>Project addresses aging building systems, code upgrades, access and accommodations for female firefighters.  Wires Division merged @ $2.1M. Confined space training added.</t>
  </si>
  <si>
    <t xml:space="preserve">$11M anticipated from MSBA. Renovate/ replace 92 yr old school due to poor condition, aging bldg systems and inadequate space per State Ed standards. </t>
  </si>
  <si>
    <t>Replace Water-Sewer Construction Truck</t>
  </si>
  <si>
    <t>Replacement of 2002 city vehicle used for construction work on City water mains and for snow removal/sanding operations.         Life span of vehicles is 15 yrs (#311).</t>
  </si>
  <si>
    <t>Newton Centre Playground-  last phase of 6 phase accessibility project</t>
  </si>
  <si>
    <t>Upgrade traffic signals on Washington St at Waltham/Watertown/Chestnut/Cherry/Highland intersections  to improve safety, visibility.</t>
  </si>
  <si>
    <t>Water Pump - Repair pump in concert with Fire Station 10 project on Dedham St</t>
  </si>
  <si>
    <t>Handicap curbcut access to sidewalks </t>
  </si>
  <si>
    <t>Replace 1999 Pumper Truck exceeding NFPA 15-yr life expectancy; will replace a 1992 spare engine.</t>
  </si>
  <si>
    <t xml:space="preserve">Five acre parcel located at Manet Road has been surplused by the MWRA in January 2013.  State legislation filed to allow purchase. Interest by the community to retain open space spacespace/passive recreation.  </t>
  </si>
  <si>
    <t>Traffic Light Improvements at Watertown @ Adams/Chapel St Intersection</t>
  </si>
  <si>
    <t>Upgrade traffic signal and intersection at Watertown and Adams/Chapel Rd  to improve safety and visibility.</t>
  </si>
  <si>
    <t xml:space="preserve">Replace 2001 vehicle/ equipmt used to haul materials for  treching / backfilling for sewer line repairs. Also used for snow removal. (#365) </t>
  </si>
  <si>
    <t>Replace 10-Wheeler Large Capacity Construction Trk</t>
  </si>
  <si>
    <t>Replacement of 2004 truck used for construction work on City water mains and for snow removal/sanding operations.         Life span of vehicles is 15 yrs (#316).</t>
  </si>
  <si>
    <t>Replace Heavy Construction Truck</t>
  </si>
  <si>
    <t>Newton South High School-  Controls for HVAC and recommissioning</t>
  </si>
  <si>
    <t>Install Delta Controls which are incompatible with newer technology.  Improve efficiencies by balancing air supply and hydronic systems.</t>
  </si>
  <si>
    <t xml:space="preserve">Footbridge structure (steel and abutement) is in poor condition and is not wheelchair accessible. </t>
  </si>
  <si>
    <t>Pierce School - Plumbing Upgrades</t>
  </si>
  <si>
    <t>Traffic Light Improvements at Dedham @ Nahanton St Intersection</t>
  </si>
  <si>
    <t>Traffic Light Improvements at Cherry @ Webster/Derby St Intersection</t>
  </si>
  <si>
    <t>Upgrade traffic signal and intersection at Cherry and Webster/Derby St  to improve safety and visibility.</t>
  </si>
  <si>
    <t>Two boilers are 54 years old and beyond their useful life.  Replace one boiler, storage, and enhance circulation system.</t>
  </si>
  <si>
    <t>Replace air handlers and roof top equipment, replace hydronic/ACCU system due to burner failures and outdated controls.</t>
  </si>
  <si>
    <t>Traffic Light Improvements at Pearl Street at Jackson St Intersection</t>
  </si>
  <si>
    <t>Traffic Light Improvements at Harvard Street at Newtonville St Intersection</t>
  </si>
  <si>
    <t>Upgrade traffic signal and intersection on Harvard St at Newtonville Street  to improve safety, visibility.</t>
  </si>
  <si>
    <t>Upgrade traffic signal and intersection on Pearl at Jackson Street  to improve safety, visibility and ADA compliance.</t>
  </si>
  <si>
    <t>Phase I of 2008 Master Plan for park renovation. Addresses drainage problems &amp; builds new ball fields and courts. Highly used park.</t>
  </si>
  <si>
    <t>Replace 2nd boiler (54 yrs old) and associated equipment, distribution, univents and full DDC system.</t>
  </si>
  <si>
    <t>Fire Station #1 (Newton Corner) - Renovation</t>
  </si>
  <si>
    <t>Fire Station #2 (West Newton) - Repair Building Envelope</t>
  </si>
  <si>
    <t>Department HQs Bldg Roof repair</t>
  </si>
  <si>
    <t>Water/Utilities Department bldg - Accessibility Upgrades</t>
  </si>
  <si>
    <t>Replace 12 existing courts at this location and lighting. Consider Private-Public Partnership.</t>
  </si>
  <si>
    <t xml:space="preserve">Create offsite climate controlled space with fire protection to house 3-D museum collections.  No space for add'l materials. </t>
  </si>
  <si>
    <t>Angier School Replacement</t>
  </si>
  <si>
    <t xml:space="preserve">Cabot School Renovation </t>
  </si>
  <si>
    <t>Zervas School - Renovation/ Replacement</t>
  </si>
  <si>
    <t>Energy Efficiency Upgrades to City/School Buildings</t>
  </si>
  <si>
    <t>Water/Utilities Department -Mechanical Upgrades</t>
  </si>
  <si>
    <t>Fire Station #1 (Newton Corner) - Replace Tanks</t>
  </si>
  <si>
    <t>Fire Station #3 &amp; HQs - Renovate/Replace Newton Centre Station</t>
  </si>
  <si>
    <t>Fire Station #10 &amp; Wires Div (Dedham St) - rebuild w/added training facility      for confined space</t>
  </si>
  <si>
    <t>Traffic Light Improvements on Washingston St Intersections (W Newton)</t>
  </si>
  <si>
    <t>Install new membrane roof on flat roofs.  Repair/replace gutters on balcony roofs.  Replace metal roofing/flashing as req'd.</t>
  </si>
  <si>
    <t>City Emergency Operations Center</t>
  </si>
  <si>
    <t>Design/construct a state-of-the-art response center in conjunction with HQs Fire Station.  Technology center for detailed information for emergency incidents from which executive decisions can be made.</t>
  </si>
  <si>
    <t>Consolidated Data Center</t>
  </si>
  <si>
    <r>
      <t>Preservation of Remaining 24 Tombs in two of the three buring grounds.</t>
    </r>
    <r>
      <rPr>
        <sz val="8"/>
        <rFont val="Calibri"/>
        <family val="2"/>
        <scheme val="minor"/>
      </rPr>
      <t xml:space="preserve">  Priority to East, then West Parish sites. Safety Concern.</t>
    </r>
  </si>
  <si>
    <r>
      <t>Preservation of Remaining 24 Tombs in two of the three buring grounds.</t>
    </r>
    <r>
      <rPr>
        <sz val="8"/>
        <rFont val="Calibri"/>
        <family val="2"/>
        <scheme val="minor"/>
      </rPr>
      <t xml:space="preserve">  Safety concern for visitors.</t>
    </r>
  </si>
  <si>
    <t xml:space="preserve">Provide a secure, evironmentally controlled environment for equipment necessary to support City operations in efficient manner.  </t>
  </si>
  <si>
    <t>Replace two Large Construction Vehicles</t>
  </si>
  <si>
    <t xml:space="preserve">Replace 2005 vehicles/equipment used to haul materials for trenching/ backfilling for sewer line repairs.  Also used for snow plowing (#366 and #367) </t>
  </si>
  <si>
    <t xml:space="preserve">BUDGET DISTRIBUTION            </t>
  </si>
  <si>
    <t xml:space="preserve">3.5% Cost Escalation Factor Used </t>
  </si>
  <si>
    <t xml:space="preserve"> Map Scanning Project  for Engineering:   Phase I</t>
  </si>
  <si>
    <t>Replace Fire Dept Pumper Truck                    (Engine 3)</t>
  </si>
  <si>
    <t>Replace Fire Dept Aerial Ladder #2</t>
  </si>
  <si>
    <t xml:space="preserve"> Map Scanning Project for Engineering:              Phase II</t>
  </si>
  <si>
    <t>Replace Fire Dept Aerial Ladder #3</t>
  </si>
  <si>
    <t>(unescalated)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</si>
</sst>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0.000"/>
    <numFmt numFmtId="167" formatCode="&quot;$&quot;#,##0"/>
    <numFmt numFmtId="168" formatCode="0.0%"/>
  </numFmts>
  <fonts count="34">
    <font>
      <sz val="11"/>
      <color theme="1"/>
      <name val="Calibri"/>
      <family val="2"/>
      <scheme val="minor"/>
    </font>
    <font>
      <sz val="11"/>
      <color theme="1"/>
      <name val="Calibri"/>
      <family val="2"/>
      <scheme val="minor"/>
    </font>
    <font>
      <b/>
      <sz val="11"/>
      <color theme="1"/>
      <name val="Calibri"/>
      <family val="2"/>
      <scheme val="minor"/>
    </font>
    <font>
      <b/>
      <sz val="10"/>
      <color indexed="8"/>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sz val="8"/>
      <color indexed="8"/>
      <name val="Calibri"/>
      <family val="2"/>
      <scheme val="minor"/>
    </font>
    <font>
      <b/>
      <sz val="8"/>
      <color indexed="8"/>
      <name val="Calibri"/>
      <family val="2"/>
      <scheme val="minor"/>
    </font>
    <font>
      <sz val="8"/>
      <color rgb="FFFF0000"/>
      <name val="Calibri"/>
      <family val="2"/>
      <scheme val="minor"/>
    </font>
    <font>
      <sz val="11"/>
      <color theme="1"/>
      <name val="Times New Roman"/>
      <family val="2"/>
    </font>
    <font>
      <b/>
      <sz val="8"/>
      <color rgb="FFFF0000"/>
      <name val="Calibri"/>
      <family val="2"/>
      <scheme val="minor"/>
    </font>
    <font>
      <sz val="11"/>
      <color indexed="8"/>
      <name val="Times New Roman"/>
      <family val="2"/>
    </font>
    <font>
      <sz val="10"/>
      <name val="Arial"/>
      <family val="2"/>
    </font>
    <font>
      <sz val="10"/>
      <color theme="1"/>
      <name val="Arial1"/>
    </font>
    <font>
      <sz val="10"/>
      <color theme="1"/>
      <name val="Calibri"/>
      <family val="2"/>
      <scheme val="minor"/>
    </font>
    <font>
      <b/>
      <sz val="12"/>
      <color indexed="8"/>
      <name val="Calibri"/>
      <family val="2"/>
      <scheme val="minor"/>
    </font>
    <font>
      <b/>
      <sz val="12"/>
      <color theme="0"/>
      <name val="Calibri"/>
      <family val="2"/>
      <scheme val="minor"/>
    </font>
    <font>
      <sz val="11"/>
      <name val="Calibri"/>
      <family val="2"/>
      <scheme val="minor"/>
    </font>
    <font>
      <sz val="12"/>
      <color theme="0"/>
      <name val="Calibri"/>
      <family val="2"/>
      <scheme val="minor"/>
    </font>
    <font>
      <b/>
      <sz val="12"/>
      <color theme="1"/>
      <name val="Calibri"/>
      <family val="2"/>
      <scheme val="minor"/>
    </font>
    <font>
      <b/>
      <sz val="12"/>
      <color indexed="8"/>
      <name val="Arial"/>
      <family val="2"/>
    </font>
    <font>
      <sz val="12"/>
      <color indexed="8"/>
      <name val="Arial"/>
      <family val="2"/>
    </font>
    <font>
      <sz val="10"/>
      <color indexed="8"/>
      <name val="Arial"/>
      <family val="2"/>
    </font>
    <font>
      <b/>
      <sz val="11"/>
      <color indexed="8"/>
      <name val="Calibri"/>
      <family val="2"/>
      <scheme val="minor"/>
    </font>
    <font>
      <b/>
      <sz val="14"/>
      <color indexed="8"/>
      <name val="Calibri"/>
      <family val="2"/>
      <scheme val="minor"/>
    </font>
    <font>
      <b/>
      <sz val="14"/>
      <color theme="1"/>
      <name val="Calibri"/>
      <family val="2"/>
      <scheme val="minor"/>
    </font>
    <font>
      <sz val="10"/>
      <name val="Calibri"/>
      <family val="2"/>
      <scheme val="minor"/>
    </font>
    <font>
      <b/>
      <sz val="10"/>
      <color rgb="FFFF0000"/>
      <name val="Calibri"/>
      <family val="2"/>
      <scheme val="minor"/>
    </font>
    <font>
      <sz val="9"/>
      <color indexed="81"/>
      <name val="Tahoma"/>
      <family val="2"/>
    </font>
    <font>
      <b/>
      <sz val="9"/>
      <color indexed="81"/>
      <name val="Tahoma"/>
      <family val="2"/>
    </font>
    <font>
      <b/>
      <sz val="30"/>
      <color indexed="8"/>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7C5D"/>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auto="1"/>
      </right>
      <top style="hair">
        <color auto="1"/>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auto="1"/>
      </left>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style="hair">
        <color auto="1"/>
      </right>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style="hair">
        <color auto="1"/>
      </left>
      <right style="thin">
        <color indexed="64"/>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right/>
      <top/>
      <bottom style="hair">
        <color auto="1"/>
      </bottom>
      <diagonal/>
    </border>
    <border>
      <left/>
      <right style="thin">
        <color indexed="64"/>
      </right>
      <top/>
      <bottom style="hair">
        <color auto="1"/>
      </bottom>
      <diagonal/>
    </border>
    <border>
      <left style="hair">
        <color auto="1"/>
      </left>
      <right/>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top/>
      <bottom style="hair">
        <color auto="1"/>
      </bottom>
      <diagonal/>
    </border>
    <border>
      <left/>
      <right style="thin">
        <color auto="1"/>
      </right>
      <top style="hair">
        <color auto="1"/>
      </top>
      <bottom style="hair">
        <color auto="1"/>
      </bottom>
      <diagonal/>
    </border>
    <border>
      <left style="hair">
        <color auto="1"/>
      </left>
      <right/>
      <top style="thin">
        <color indexed="64"/>
      </top>
      <bottom style="thin">
        <color indexed="64"/>
      </bottom>
      <diagonal/>
    </border>
    <border>
      <left style="hair">
        <color indexed="64"/>
      </left>
      <right style="hair">
        <color indexed="64"/>
      </right>
      <top style="hair">
        <color auto="1"/>
      </top>
      <bottom style="thin">
        <color indexed="64"/>
      </bottom>
      <diagonal/>
    </border>
    <border>
      <left style="hair">
        <color auto="1"/>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44" fontId="14" fillId="0" borderId="0" applyFont="0" applyFill="0" applyBorder="0" applyAlignment="0" applyProtection="0"/>
    <xf numFmtId="0" fontId="15" fillId="0" borderId="0"/>
    <xf numFmtId="0" fontId="16" fillId="0" borderId="0"/>
  </cellStyleXfs>
  <cellXfs count="351">
    <xf numFmtId="0" fontId="0" fillId="0" borderId="0" xfId="0"/>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top" wrapText="1"/>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6" fillId="0" borderId="5"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horizontal="left" vertical="top" wrapText="1"/>
    </xf>
    <xf numFmtId="0" fontId="5"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3" applyFont="1" applyBorder="1" applyAlignment="1">
      <alignment horizontal="left" vertical="top" wrapText="1"/>
    </xf>
    <xf numFmtId="0" fontId="8" fillId="0" borderId="5" xfId="0" applyFont="1" applyFill="1" applyBorder="1" applyAlignment="1">
      <alignment horizontal="left" vertical="top" wrapText="1"/>
    </xf>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top" wrapText="1"/>
    </xf>
    <xf numFmtId="0" fontId="10" fillId="0" borderId="5" xfId="0" applyFont="1" applyBorder="1" applyAlignment="1">
      <alignment horizontal="left" vertical="center" wrapText="1"/>
    </xf>
    <xf numFmtId="0" fontId="9" fillId="0" borderId="5" xfId="0" applyFont="1" applyFill="1" applyBorder="1" applyAlignment="1">
      <alignment horizontal="left" vertical="center" wrapText="1"/>
    </xf>
    <xf numFmtId="0" fontId="8" fillId="0" borderId="5" xfId="3" applyFont="1" applyFill="1" applyBorder="1" applyAlignment="1">
      <alignment horizontal="left" vertical="top" wrapText="1"/>
    </xf>
    <xf numFmtId="0" fontId="8" fillId="0" borderId="5" xfId="0" applyFont="1" applyBorder="1" applyAlignment="1">
      <alignment horizontal="left" vertical="top" wrapText="1"/>
    </xf>
    <xf numFmtId="0" fontId="8" fillId="0" borderId="5" xfId="0" applyFont="1" applyBorder="1" applyAlignment="1">
      <alignment horizontal="left" vertical="center" wrapText="1"/>
    </xf>
    <xf numFmtId="0" fontId="7"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left" vertical="top" wrapText="1"/>
    </xf>
    <xf numFmtId="0" fontId="8" fillId="0" borderId="5" xfId="3" applyFont="1" applyFill="1" applyBorder="1" applyAlignment="1">
      <alignment horizontal="left" vertical="center" wrapText="1"/>
    </xf>
    <xf numFmtId="0" fontId="7" fillId="0" borderId="5" xfId="0" applyFont="1" applyFill="1" applyBorder="1" applyAlignment="1">
      <alignment horizontal="left" vertical="top" wrapText="1"/>
    </xf>
    <xf numFmtId="0" fontId="9" fillId="0" borderId="5" xfId="3" applyFont="1" applyBorder="1" applyAlignment="1">
      <alignment vertical="top" wrapText="1"/>
    </xf>
    <xf numFmtId="0" fontId="8" fillId="0" borderId="5" xfId="5" applyFont="1" applyFill="1" applyBorder="1" applyAlignment="1">
      <alignment horizontal="left" vertical="top" wrapText="1"/>
    </xf>
    <xf numFmtId="0" fontId="7" fillId="0" borderId="5" xfId="3" applyFont="1" applyFill="1" applyBorder="1" applyAlignment="1">
      <alignment horizontal="left" vertical="center" wrapText="1"/>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4" fillId="6" borderId="7" xfId="0" applyFont="1" applyFill="1" applyBorder="1" applyAlignment="1">
      <alignment horizontal="center"/>
    </xf>
    <xf numFmtId="0" fontId="4" fillId="6" borderId="8" xfId="0" applyFont="1" applyFill="1" applyBorder="1" applyAlignment="1">
      <alignment horizontal="center"/>
    </xf>
    <xf numFmtId="9" fontId="17" fillId="0" borderId="9" xfId="2"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9" xfId="0" applyFont="1" applyBorder="1" applyAlignment="1">
      <alignment horizontal="center"/>
    </xf>
    <xf numFmtId="0" fontId="17" fillId="0" borderId="12" xfId="0" applyFont="1" applyBorder="1" applyAlignment="1">
      <alignment horizontal="center"/>
    </xf>
    <xf numFmtId="9" fontId="17" fillId="0" borderId="12" xfId="2"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0" xfId="0" applyFont="1" applyAlignment="1">
      <alignment horizontal="center"/>
    </xf>
    <xf numFmtId="0" fontId="3" fillId="8" borderId="1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18" fillId="10"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4" borderId="15" xfId="0" applyFont="1" applyFill="1" applyBorder="1" applyAlignment="1">
      <alignment horizontal="center" vertical="center" wrapText="1"/>
    </xf>
    <xf numFmtId="9" fontId="0" fillId="0" borderId="24" xfId="2" applyFont="1" applyBorder="1" applyAlignment="1">
      <alignment horizontal="center" vertical="center"/>
    </xf>
    <xf numFmtId="0" fontId="17" fillId="0" borderId="24" xfId="0" applyFont="1" applyBorder="1" applyAlignment="1">
      <alignment horizontal="center" vertical="center"/>
    </xf>
    <xf numFmtId="0" fontId="18" fillId="11" borderId="15" xfId="0" applyFont="1" applyFill="1" applyBorder="1" applyAlignment="1">
      <alignment horizontal="center"/>
    </xf>
    <xf numFmtId="165" fontId="18" fillId="2" borderId="15" xfId="0" applyNumberFormat="1" applyFont="1" applyFill="1" applyBorder="1" applyAlignment="1">
      <alignment horizontal="center"/>
    </xf>
    <xf numFmtId="0" fontId="3" fillId="11" borderId="25"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0" fillId="2" borderId="28" xfId="0" applyNumberFormat="1" applyFont="1" applyFill="1" applyBorder="1" applyAlignment="1">
      <alignment horizontal="center" vertical="center"/>
    </xf>
    <xf numFmtId="0" fontId="0" fillId="2" borderId="4" xfId="0" applyNumberFormat="1" applyFont="1" applyFill="1" applyBorder="1" applyAlignment="1">
      <alignment horizontal="center" vertical="center"/>
    </xf>
    <xf numFmtId="0" fontId="0" fillId="2" borderId="29" xfId="0" applyNumberFormat="1" applyFont="1" applyFill="1" applyBorder="1" applyAlignment="1">
      <alignment horizontal="center" vertical="center"/>
    </xf>
    <xf numFmtId="0" fontId="10" fillId="11" borderId="15" xfId="0" applyFont="1" applyFill="1" applyBorder="1" applyAlignment="1">
      <alignment horizontal="center"/>
    </xf>
    <xf numFmtId="165" fontId="24" fillId="11" borderId="16" xfId="0" applyNumberFormat="1" applyFont="1" applyFill="1" applyBorder="1" applyAlignment="1">
      <alignment horizontal="center"/>
    </xf>
    <xf numFmtId="9" fontId="5" fillId="12" borderId="31" xfId="2" applyFont="1" applyFill="1" applyBorder="1" applyAlignment="1">
      <alignment horizontal="center" vertical="center"/>
    </xf>
    <xf numFmtId="0" fontId="23" fillId="0" borderId="0" xfId="0" applyFont="1" applyFill="1" applyBorder="1" applyAlignment="1">
      <alignment horizontal="center" vertical="center" wrapText="1"/>
    </xf>
    <xf numFmtId="2" fontId="5" fillId="12" borderId="4" xfId="0" applyNumberFormat="1" applyFont="1" applyFill="1" applyBorder="1" applyAlignment="1">
      <alignment horizontal="center" vertical="center"/>
    </xf>
    <xf numFmtId="2" fontId="5" fillId="12" borderId="29" xfId="0" applyNumberFormat="1" applyFont="1" applyFill="1" applyBorder="1" applyAlignment="1">
      <alignment horizontal="center" vertical="center"/>
    </xf>
    <xf numFmtId="2" fontId="5" fillId="12" borderId="34" xfId="0" applyNumberFormat="1" applyFont="1" applyFill="1" applyBorder="1" applyAlignment="1">
      <alignment horizontal="center" vertical="center"/>
    </xf>
    <xf numFmtId="166" fontId="22" fillId="10" borderId="34" xfId="0" applyNumberFormat="1" applyFont="1" applyFill="1" applyBorder="1" applyAlignment="1">
      <alignment horizontal="center" vertical="center"/>
    </xf>
    <xf numFmtId="0" fontId="3" fillId="13" borderId="25"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0" fillId="2" borderId="16" xfId="0" applyFill="1" applyBorder="1"/>
    <xf numFmtId="0" fontId="2" fillId="2" borderId="35" xfId="0" applyFont="1" applyFill="1" applyBorder="1" applyAlignment="1">
      <alignment horizontal="center"/>
    </xf>
    <xf numFmtId="0" fontId="24" fillId="0" borderId="37" xfId="0" applyFont="1" applyBorder="1"/>
    <xf numFmtId="0" fontId="3" fillId="14" borderId="25" xfId="0" applyNumberFormat="1" applyFont="1" applyFill="1" applyBorder="1" applyAlignment="1">
      <alignment horizontal="center"/>
    </xf>
    <xf numFmtId="0" fontId="3" fillId="14" borderId="15" xfId="0" applyNumberFormat="1" applyFont="1" applyFill="1" applyBorder="1" applyAlignment="1">
      <alignment horizontal="center"/>
    </xf>
    <xf numFmtId="0" fontId="0" fillId="0" borderId="1" xfId="0" applyBorder="1" applyAlignment="1">
      <alignment vertical="center"/>
    </xf>
    <xf numFmtId="42" fontId="3" fillId="0" borderId="3" xfId="0" applyNumberFormat="1" applyFont="1" applyFill="1" applyBorder="1" applyAlignment="1">
      <alignment horizontal="center" vertical="center" wrapText="1"/>
    </xf>
    <xf numFmtId="42" fontId="3" fillId="0" borderId="39" xfId="0" applyNumberFormat="1" applyFont="1" applyFill="1" applyBorder="1" applyAlignment="1">
      <alignment horizontal="center" vertical="center" wrapText="1"/>
    </xf>
    <xf numFmtId="0" fontId="24" fillId="0" borderId="40" xfId="0" applyFont="1" applyBorder="1"/>
    <xf numFmtId="42" fontId="3" fillId="14" borderId="33" xfId="0" applyNumberFormat="1" applyFont="1" applyFill="1" applyBorder="1" applyAlignment="1">
      <alignment horizontal="center"/>
    </xf>
    <xf numFmtId="0" fontId="3" fillId="12" borderId="38" xfId="0" applyFont="1" applyFill="1" applyBorder="1"/>
    <xf numFmtId="0" fontId="5" fillId="0" borderId="29" xfId="0" applyFont="1" applyFill="1" applyBorder="1" applyAlignment="1">
      <alignment horizontal="center" vertical="center" wrapText="1"/>
    </xf>
    <xf numFmtId="0" fontId="17" fillId="0" borderId="41" xfId="0" applyFont="1" applyBorder="1" applyAlignment="1">
      <alignment horizontal="left" vertical="center"/>
    </xf>
    <xf numFmtId="0" fontId="5" fillId="0" borderId="42" xfId="0" applyFont="1" applyFill="1" applyBorder="1" applyAlignment="1">
      <alignment horizontal="center" vertical="center" wrapText="1"/>
    </xf>
    <xf numFmtId="0" fontId="17" fillId="0" borderId="37" xfId="0" applyFont="1" applyBorder="1" applyAlignment="1">
      <alignment horizontal="left" vertical="center"/>
    </xf>
    <xf numFmtId="0" fontId="5"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0" xfId="0" applyFont="1" applyAlignment="1">
      <alignment horizontal="right"/>
    </xf>
    <xf numFmtId="0" fontId="0" fillId="2" borderId="21" xfId="0" applyFill="1" applyBorder="1" applyAlignment="1">
      <alignment vertical="center"/>
    </xf>
    <xf numFmtId="0" fontId="0" fillId="2" borderId="43" xfId="0" applyFill="1" applyBorder="1" applyAlignment="1">
      <alignment vertical="center"/>
    </xf>
    <xf numFmtId="0" fontId="0" fillId="2" borderId="0" xfId="0" applyFill="1" applyBorder="1" applyAlignment="1">
      <alignment vertical="center"/>
    </xf>
    <xf numFmtId="0" fontId="0" fillId="2" borderId="44" xfId="0" applyFill="1" applyBorder="1" applyAlignment="1">
      <alignment vertical="center"/>
    </xf>
    <xf numFmtId="0" fontId="0" fillId="2" borderId="1" xfId="0" applyFill="1" applyBorder="1" applyAlignment="1">
      <alignment vertical="center"/>
    </xf>
    <xf numFmtId="42" fontId="17" fillId="0" borderId="4" xfId="0" applyNumberFormat="1" applyFont="1" applyBorder="1" applyAlignment="1">
      <alignment horizontal="center" vertical="center"/>
    </xf>
    <xf numFmtId="42" fontId="0" fillId="0" borderId="0" xfId="0" applyNumberFormat="1"/>
    <xf numFmtId="42" fontId="5" fillId="0" borderId="45" xfId="0" applyNumberFormat="1" applyFont="1" applyFill="1" applyBorder="1" applyAlignment="1" applyProtection="1">
      <alignment horizontal="center" vertical="center" wrapText="1"/>
      <protection locked="0"/>
    </xf>
    <xf numFmtId="42" fontId="5" fillId="0" borderId="45" xfId="0" applyNumberFormat="1" applyFont="1" applyBorder="1" applyAlignment="1" applyProtection="1">
      <alignment horizontal="center" vertical="center" wrapText="1"/>
      <protection locked="0"/>
    </xf>
    <xf numFmtId="0" fontId="9" fillId="0" borderId="5" xfId="1" applyNumberFormat="1" applyFont="1" applyFill="1" applyBorder="1" applyAlignment="1">
      <alignment horizontal="left" vertical="top" wrapText="1"/>
    </xf>
    <xf numFmtId="42" fontId="17" fillId="0" borderId="4" xfId="0" applyNumberFormat="1" applyFont="1" applyFill="1" applyBorder="1" applyAlignment="1">
      <alignment horizontal="center" vertical="center"/>
    </xf>
    <xf numFmtId="0" fontId="6" fillId="0" borderId="5" xfId="0" applyFont="1" applyBorder="1" applyAlignment="1">
      <alignment vertical="center" wrapText="1"/>
    </xf>
    <xf numFmtId="0" fontId="3" fillId="3" borderId="3" xfId="0" applyFont="1" applyFill="1" applyBorder="1" applyAlignment="1">
      <alignment horizontal="center" vertical="center" wrapText="1"/>
    </xf>
    <xf numFmtId="164" fontId="9" fillId="0" borderId="5" xfId="1" applyNumberFormat="1" applyFont="1" applyFill="1" applyBorder="1" applyAlignment="1">
      <alignment horizontal="left" vertical="top" wrapText="1"/>
    </xf>
    <xf numFmtId="42" fontId="17" fillId="0" borderId="5" xfId="0" applyNumberFormat="1" applyFont="1" applyFill="1" applyBorder="1" applyAlignment="1">
      <alignment horizontal="center" vertical="center"/>
    </xf>
    <xf numFmtId="42" fontId="17" fillId="0" borderId="47" xfId="0" applyNumberFormat="1" applyFont="1" applyFill="1" applyBorder="1" applyAlignment="1">
      <alignment horizontal="center" vertical="center"/>
    </xf>
    <xf numFmtId="42" fontId="17" fillId="0" borderId="37" xfId="0" applyNumberFormat="1" applyFont="1" applyFill="1" applyBorder="1" applyAlignment="1">
      <alignment horizontal="center" vertical="center"/>
    </xf>
    <xf numFmtId="0" fontId="0" fillId="2" borderId="21" xfId="0" applyFill="1" applyBorder="1" applyAlignment="1">
      <alignment vertical="top"/>
    </xf>
    <xf numFmtId="0" fontId="0" fillId="2" borderId="0" xfId="0" applyFill="1" applyBorder="1" applyAlignment="1">
      <alignment vertical="top"/>
    </xf>
    <xf numFmtId="0" fontId="0" fillId="2" borderId="1" xfId="0" applyFill="1" applyBorder="1" applyAlignment="1">
      <alignment vertical="top"/>
    </xf>
    <xf numFmtId="164" fontId="9" fillId="0" borderId="5" xfId="1" applyNumberFormat="1" applyFont="1" applyBorder="1" applyAlignment="1">
      <alignment horizontal="left" vertical="top" wrapText="1"/>
    </xf>
    <xf numFmtId="0" fontId="9" fillId="0" borderId="5" xfId="0" applyFont="1" applyBorder="1" applyAlignment="1">
      <alignment horizontal="left" vertical="top" wrapText="1"/>
    </xf>
    <xf numFmtId="0" fontId="9" fillId="0" borderId="5" xfId="4" applyNumberFormat="1" applyFont="1" applyBorder="1" applyAlignment="1">
      <alignment horizontal="left" vertical="top" wrapText="1"/>
    </xf>
    <xf numFmtId="0" fontId="9" fillId="0" borderId="5" xfId="1" applyNumberFormat="1" applyFont="1" applyBorder="1" applyAlignment="1">
      <alignment horizontal="left" vertical="top" wrapText="1"/>
    </xf>
    <xf numFmtId="49" fontId="8" fillId="0" borderId="5" xfId="0" applyNumberFormat="1" applyFont="1" applyFill="1" applyBorder="1" applyAlignment="1">
      <alignment horizontal="left" vertical="top" wrapText="1"/>
    </xf>
    <xf numFmtId="0" fontId="9" fillId="0" borderId="5" xfId="3" applyFont="1" applyFill="1" applyBorder="1" applyAlignment="1">
      <alignment horizontal="left" vertical="top" wrapText="1"/>
    </xf>
    <xf numFmtId="164" fontId="9" fillId="0" borderId="5" xfId="4" applyNumberFormat="1" applyFont="1" applyFill="1" applyBorder="1" applyAlignment="1">
      <alignment horizontal="left" vertical="top" wrapText="1"/>
    </xf>
    <xf numFmtId="0" fontId="0" fillId="0" borderId="0" xfId="0" applyAlignment="1">
      <alignment vertical="top"/>
    </xf>
    <xf numFmtId="0" fontId="2" fillId="0" borderId="0" xfId="0" applyFont="1"/>
    <xf numFmtId="0" fontId="0" fillId="0" borderId="48" xfId="0" applyBorder="1"/>
    <xf numFmtId="0" fontId="0" fillId="0" borderId="5" xfId="0" applyBorder="1"/>
    <xf numFmtId="0" fontId="0" fillId="0" borderId="45" xfId="0" applyBorder="1"/>
    <xf numFmtId="167" fontId="2" fillId="0" borderId="0" xfId="0" applyNumberFormat="1" applyFont="1"/>
    <xf numFmtId="0" fontId="0" fillId="0" borderId="0" xfId="0" applyFill="1"/>
    <xf numFmtId="0" fontId="0" fillId="0" borderId="0" xfId="0" applyBorder="1"/>
    <xf numFmtId="0" fontId="0" fillId="0" borderId="0" xfId="0" applyAlignment="1">
      <alignment vertical="center"/>
    </xf>
    <xf numFmtId="0" fontId="2" fillId="2" borderId="21" xfId="0" applyFont="1" applyFill="1" applyBorder="1" applyAlignment="1">
      <alignmen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top" wrapText="1"/>
    </xf>
    <xf numFmtId="0" fontId="0" fillId="0" borderId="28" xfId="0" applyFont="1" applyFill="1" applyBorder="1" applyAlignment="1">
      <alignment horizontal="center" vertical="center" wrapText="1"/>
    </xf>
    <xf numFmtId="9" fontId="0" fillId="0" borderId="47" xfId="2" applyFont="1" applyBorder="1" applyAlignment="1">
      <alignment horizontal="center" vertical="center"/>
    </xf>
    <xf numFmtId="0" fontId="17" fillId="0" borderId="47" xfId="0" applyFont="1" applyBorder="1" applyAlignment="1">
      <alignment horizontal="center" vertical="center"/>
    </xf>
    <xf numFmtId="9" fontId="5" fillId="12" borderId="34" xfId="2" applyFont="1" applyFill="1" applyBorder="1" applyAlignment="1">
      <alignment horizontal="center" vertical="center"/>
    </xf>
    <xf numFmtId="0" fontId="0" fillId="0" borderId="28" xfId="0" applyFont="1" applyBorder="1" applyAlignment="1">
      <alignment horizontal="center" vertical="center" wrapText="1"/>
    </xf>
    <xf numFmtId="0" fontId="0" fillId="2" borderId="18" xfId="0" applyNumberFormat="1" applyFont="1" applyFill="1" applyBorder="1" applyAlignment="1">
      <alignment horizontal="center" vertical="center"/>
    </xf>
    <xf numFmtId="0" fontId="0" fillId="2" borderId="5" xfId="0" applyNumberFormat="1" applyFont="1" applyFill="1" applyBorder="1" applyAlignment="1">
      <alignment horizontal="center" vertical="center"/>
    </xf>
    <xf numFmtId="0" fontId="0" fillId="2" borderId="42" xfId="0" applyNumberFormat="1" applyFont="1" applyFill="1" applyBorder="1" applyAlignment="1">
      <alignment horizontal="center" vertical="center"/>
    </xf>
    <xf numFmtId="2" fontId="5" fillId="12" borderId="5" xfId="0" applyNumberFormat="1" applyFont="1" applyFill="1" applyBorder="1" applyAlignment="1">
      <alignment horizontal="center" vertical="center"/>
    </xf>
    <xf numFmtId="2" fontId="5" fillId="12" borderId="42" xfId="0" applyNumberFormat="1" applyFont="1" applyFill="1" applyBorder="1" applyAlignment="1">
      <alignment horizontal="center" vertical="center"/>
    </xf>
    <xf numFmtId="2" fontId="5" fillId="12" borderId="31" xfId="0" applyNumberFormat="1" applyFont="1" applyFill="1" applyBorder="1" applyAlignment="1">
      <alignment horizontal="center" vertical="center"/>
    </xf>
    <xf numFmtId="166" fontId="22" fillId="10" borderId="31" xfId="0" applyNumberFormat="1" applyFont="1" applyFill="1" applyBorder="1" applyAlignment="1">
      <alignment horizontal="center" vertical="center"/>
    </xf>
    <xf numFmtId="0" fontId="33" fillId="2" borderId="20" xfId="0" applyFont="1" applyFill="1" applyBorder="1" applyAlignment="1">
      <alignment horizontal="left" vertical="center"/>
    </xf>
    <xf numFmtId="0" fontId="8" fillId="0" borderId="5" xfId="5" applyFont="1" applyBorder="1" applyAlignment="1">
      <alignment horizontal="left" vertical="top" wrapText="1"/>
    </xf>
    <xf numFmtId="0" fontId="5" fillId="0" borderId="4" xfId="0" applyFont="1" applyBorder="1" applyAlignment="1">
      <alignment horizontal="left" vertical="center" wrapText="1"/>
    </xf>
    <xf numFmtId="0" fontId="4"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0" fillId="0" borderId="24" xfId="2" applyFont="1" applyFill="1" applyBorder="1" applyAlignment="1">
      <alignment horizontal="center" vertical="center"/>
    </xf>
    <xf numFmtId="0" fontId="17" fillId="0" borderId="24" xfId="0" applyFont="1" applyFill="1" applyBorder="1" applyAlignment="1">
      <alignment horizontal="center" vertical="center"/>
    </xf>
    <xf numFmtId="0" fontId="0" fillId="0" borderId="28"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xf>
    <xf numFmtId="0" fontId="26" fillId="14" borderId="39" xfId="0" applyFont="1" applyFill="1" applyBorder="1" applyAlignment="1">
      <alignment horizontal="center" vertical="center" wrapText="1"/>
    </xf>
    <xf numFmtId="42" fontId="3" fillId="14" borderId="3" xfId="0" applyNumberFormat="1" applyFont="1" applyFill="1" applyBorder="1" applyAlignment="1">
      <alignment horizontal="center" vertical="center"/>
    </xf>
    <xf numFmtId="42" fontId="3" fillId="14" borderId="39" xfId="0" applyNumberFormat="1" applyFont="1" applyFill="1" applyBorder="1" applyAlignment="1">
      <alignment horizontal="center" vertical="center"/>
    </xf>
    <xf numFmtId="42" fontId="17" fillId="0" borderId="4" xfId="0" applyNumberFormat="1" applyFont="1" applyFill="1" applyBorder="1" applyAlignment="1">
      <alignment horizontal="left" vertical="center"/>
    </xf>
    <xf numFmtId="42" fontId="17" fillId="0" borderId="18" xfId="0" applyNumberFormat="1" applyFont="1" applyFill="1" applyBorder="1" applyAlignment="1">
      <alignment horizontal="left" vertical="center"/>
    </xf>
    <xf numFmtId="42" fontId="17" fillId="0" borderId="5" xfId="0" applyNumberFormat="1" applyFont="1" applyFill="1" applyBorder="1" applyAlignment="1">
      <alignment horizontal="left" vertical="center"/>
    </xf>
    <xf numFmtId="0" fontId="7"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42" fontId="17" fillId="0" borderId="4" xfId="1" applyNumberFormat="1" applyFont="1" applyBorder="1" applyAlignment="1">
      <alignment horizontal="left" vertical="center"/>
    </xf>
    <xf numFmtId="42" fontId="17" fillId="0" borderId="4" xfId="1" applyNumberFormat="1" applyFont="1" applyBorder="1" applyAlignment="1">
      <alignment vertical="center"/>
    </xf>
    <xf numFmtId="0" fontId="3" fillId="3" borderId="52" xfId="0" applyFont="1" applyFill="1" applyBorder="1" applyAlignment="1">
      <alignment horizontal="center" vertical="center" wrapText="1"/>
    </xf>
    <xf numFmtId="0" fontId="24" fillId="0" borderId="21" xfId="0" applyFont="1" applyFill="1" applyBorder="1" applyAlignment="1">
      <alignment horizontal="left" indent="1"/>
    </xf>
    <xf numFmtId="0" fontId="0" fillId="0" borderId="21" xfId="0" applyBorder="1" applyAlignment="1">
      <alignment textRotation="90"/>
    </xf>
    <xf numFmtId="42" fontId="26" fillId="14" borderId="15" xfId="0" applyNumberFormat="1" applyFont="1" applyFill="1" applyBorder="1" applyAlignment="1">
      <alignment horizontal="center" vertical="center" wrapText="1"/>
    </xf>
    <xf numFmtId="0" fontId="3" fillId="11" borderId="19" xfId="0" applyFont="1" applyFill="1" applyBorder="1" applyAlignment="1">
      <alignment horizontal="center" vertical="center" wrapText="1"/>
    </xf>
    <xf numFmtId="2" fontId="22" fillId="6" borderId="50" xfId="0" applyNumberFormat="1" applyFont="1" applyFill="1" applyBorder="1" applyAlignment="1">
      <alignment horizontal="center" vertical="center"/>
    </xf>
    <xf numFmtId="2" fontId="22" fillId="6" borderId="49" xfId="0" applyNumberFormat="1" applyFont="1" applyFill="1" applyBorder="1" applyAlignment="1">
      <alignment horizontal="center" vertical="center"/>
    </xf>
    <xf numFmtId="0" fontId="3" fillId="15" borderId="30" xfId="0" applyFont="1" applyFill="1" applyBorder="1" applyAlignment="1">
      <alignment horizontal="center" vertical="center" wrapText="1"/>
    </xf>
    <xf numFmtId="165" fontId="17" fillId="0" borderId="46" xfId="0" applyNumberFormat="1" applyFont="1" applyFill="1" applyBorder="1" applyAlignment="1">
      <alignment horizontal="center" vertical="center"/>
    </xf>
    <xf numFmtId="165" fontId="17" fillId="0" borderId="51"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top" wrapText="1"/>
    </xf>
    <xf numFmtId="42" fontId="17" fillId="0" borderId="41" xfId="0" applyNumberFormat="1" applyFont="1" applyFill="1" applyBorder="1" applyAlignment="1">
      <alignment horizontal="center" vertical="center"/>
    </xf>
    <xf numFmtId="165" fontId="22" fillId="0" borderId="4" xfId="0" applyNumberFormat="1" applyFont="1" applyFill="1" applyBorder="1" applyAlignment="1">
      <alignment horizontal="center" vertical="center"/>
    </xf>
    <xf numFmtId="165" fontId="22" fillId="0" borderId="5" xfId="0" applyNumberFormat="1" applyFont="1" applyFill="1" applyBorder="1" applyAlignment="1">
      <alignment horizontal="center" vertical="center"/>
    </xf>
    <xf numFmtId="9" fontId="0" fillId="0" borderId="47" xfId="2" applyFont="1" applyFill="1" applyBorder="1" applyAlignment="1">
      <alignment horizontal="center" vertical="center"/>
    </xf>
    <xf numFmtId="0" fontId="17" fillId="0" borderId="47" xfId="0" applyFont="1" applyFill="1" applyBorder="1" applyAlignment="1">
      <alignment horizontal="center" vertical="center"/>
    </xf>
    <xf numFmtId="42" fontId="17" fillId="0" borderId="47" xfId="0" applyNumberFormat="1" applyFont="1" applyBorder="1" applyAlignment="1">
      <alignment horizontal="center" vertical="center"/>
    </xf>
    <xf numFmtId="42" fontId="17" fillId="0" borderId="47" xfId="1" applyNumberFormat="1" applyFont="1" applyBorder="1" applyAlignment="1">
      <alignment vertical="center"/>
    </xf>
    <xf numFmtId="0" fontId="29" fillId="0" borderId="41" xfId="0" applyFont="1" applyBorder="1" applyAlignment="1">
      <alignment horizontal="left" vertical="center"/>
    </xf>
    <xf numFmtId="0" fontId="8" fillId="0" borderId="4" xfId="0" applyFont="1" applyFill="1" applyBorder="1" applyAlignment="1">
      <alignment horizontal="left" vertical="top" wrapText="1"/>
    </xf>
    <xf numFmtId="42" fontId="5" fillId="0" borderId="31" xfId="0" applyNumberFormat="1" applyFont="1" applyFill="1" applyBorder="1" applyAlignment="1" applyProtection="1">
      <alignment horizontal="center" vertical="center" wrapText="1"/>
      <protection locked="0"/>
    </xf>
    <xf numFmtId="42" fontId="5" fillId="0" borderId="34" xfId="0" applyNumberFormat="1" applyFont="1" applyFill="1" applyBorder="1" applyAlignment="1" applyProtection="1">
      <alignment horizontal="center" vertical="center" wrapText="1"/>
      <protection locked="0"/>
    </xf>
    <xf numFmtId="42" fontId="5" fillId="0" borderId="34" xfId="0" applyNumberFormat="1" applyFont="1" applyBorder="1" applyAlignment="1" applyProtection="1">
      <alignment horizontal="center" vertical="center" wrapText="1"/>
      <protection locked="0"/>
    </xf>
    <xf numFmtId="42" fontId="5" fillId="0" borderId="31" xfId="0" applyNumberFormat="1" applyFont="1" applyBorder="1" applyAlignment="1" applyProtection="1">
      <alignment horizontal="center" vertical="center" wrapText="1"/>
      <protection locked="0"/>
    </xf>
    <xf numFmtId="0" fontId="9" fillId="0" borderId="4" xfId="1" applyNumberFormat="1" applyFont="1" applyFill="1" applyBorder="1" applyAlignment="1">
      <alignment horizontal="left" vertical="top" wrapText="1"/>
    </xf>
    <xf numFmtId="0" fontId="2" fillId="0" borderId="0" xfId="0" applyFont="1" applyAlignment="1">
      <alignment horizontal="right" vertical="top"/>
    </xf>
    <xf numFmtId="0" fontId="0" fillId="0" borderId="0" xfId="0" applyAlignment="1">
      <alignment horizontal="right" vertical="top"/>
    </xf>
    <xf numFmtId="42" fontId="17" fillId="0" borderId="24" xfId="0" applyNumberFormat="1" applyFont="1" applyFill="1" applyBorder="1" applyAlignment="1">
      <alignment horizontal="center" vertical="center"/>
    </xf>
    <xf numFmtId="42" fontId="29" fillId="0" borderId="47" xfId="0" applyNumberFormat="1" applyFont="1" applyFill="1" applyBorder="1" applyAlignment="1">
      <alignment horizontal="center" vertical="center"/>
    </xf>
    <xf numFmtId="42" fontId="17" fillId="0" borderId="47" xfId="1" applyNumberFormat="1" applyFont="1" applyBorder="1" applyAlignment="1">
      <alignment horizontal="left" vertical="center"/>
    </xf>
    <xf numFmtId="166" fontId="22" fillId="0" borderId="34" xfId="0" applyNumberFormat="1" applyFont="1" applyFill="1" applyBorder="1" applyAlignment="1">
      <alignment horizontal="center" vertical="center"/>
    </xf>
    <xf numFmtId="0" fontId="17" fillId="0" borderId="37" xfId="0" applyFont="1" applyFill="1" applyBorder="1" applyAlignment="1">
      <alignment horizontal="left" vertical="center"/>
    </xf>
    <xf numFmtId="0" fontId="7" fillId="0" borderId="5" xfId="3" applyFont="1" applyFill="1" applyBorder="1" applyAlignment="1">
      <alignment vertical="top" wrapText="1"/>
    </xf>
    <xf numFmtId="0" fontId="5" fillId="0" borderId="4" xfId="0" applyFont="1" applyFill="1" applyBorder="1" applyAlignment="1">
      <alignment horizontal="left" vertical="center" wrapText="1"/>
    </xf>
    <xf numFmtId="164" fontId="29" fillId="0" borderId="4" xfId="4" applyNumberFormat="1" applyFont="1" applyBorder="1" applyAlignment="1">
      <alignment horizontal="left" vertical="center"/>
    </xf>
    <xf numFmtId="0" fontId="7" fillId="0" borderId="4" xfId="0" applyFont="1" applyFill="1" applyBorder="1" applyAlignment="1">
      <alignment horizontal="left" vertical="top" wrapText="1"/>
    </xf>
    <xf numFmtId="164" fontId="8" fillId="0" borderId="5" xfId="1" applyNumberFormat="1" applyFont="1" applyBorder="1" applyAlignment="1">
      <alignment horizontal="left" vertical="top" wrapText="1"/>
    </xf>
    <xf numFmtId="0" fontId="6" fillId="0" borderId="48" xfId="0" applyFont="1" applyBorder="1" applyAlignment="1">
      <alignment horizontal="left" vertical="center" wrapText="1"/>
    </xf>
    <xf numFmtId="42" fontId="30" fillId="0" borderId="41" xfId="0" applyNumberFormat="1" applyFont="1" applyBorder="1" applyAlignment="1">
      <alignment horizontal="left" vertical="center"/>
    </xf>
    <xf numFmtId="0" fontId="7" fillId="0" borderId="5" xfId="5" applyFont="1" applyFill="1" applyBorder="1" applyAlignment="1">
      <alignment horizontal="left" vertical="center" wrapText="1"/>
    </xf>
    <xf numFmtId="42" fontId="17" fillId="0" borderId="45" xfId="1" applyNumberFormat="1" applyFont="1" applyFill="1" applyBorder="1" applyAlignment="1">
      <alignment horizontal="left" vertical="center"/>
    </xf>
    <xf numFmtId="42" fontId="17" fillId="0" borderId="48" xfId="1" applyNumberFormat="1" applyFont="1" applyFill="1" applyBorder="1" applyAlignment="1">
      <alignment horizontal="left" vertical="center"/>
    </xf>
    <xf numFmtId="42" fontId="17" fillId="0" borderId="45" xfId="1" applyNumberFormat="1" applyFont="1" applyBorder="1" applyAlignment="1">
      <alignment horizontal="left" vertical="center"/>
    </xf>
    <xf numFmtId="42" fontId="17" fillId="0" borderId="48" xfId="1" applyNumberFormat="1" applyFont="1" applyBorder="1" applyAlignment="1">
      <alignment horizontal="left" vertical="center"/>
    </xf>
    <xf numFmtId="42" fontId="29" fillId="0" borderId="48" xfId="1" applyNumberFormat="1" applyFont="1" applyBorder="1" applyAlignment="1">
      <alignment horizontal="left" vertical="center"/>
    </xf>
    <xf numFmtId="42" fontId="29" fillId="0" borderId="45" xfId="1" applyNumberFormat="1" applyFont="1" applyBorder="1" applyAlignment="1">
      <alignment horizontal="left" vertical="center"/>
    </xf>
    <xf numFmtId="42" fontId="17" fillId="0" borderId="48" xfId="1" applyNumberFormat="1" applyFont="1" applyBorder="1" applyAlignment="1">
      <alignment vertical="center"/>
    </xf>
    <xf numFmtId="42" fontId="29" fillId="0" borderId="48" xfId="1" applyNumberFormat="1" applyFont="1" applyFill="1" applyBorder="1" applyAlignment="1">
      <alignment horizontal="left" vertical="center"/>
    </xf>
    <xf numFmtId="164" fontId="29" fillId="0" borderId="48" xfId="4" applyNumberFormat="1" applyFont="1" applyBorder="1" applyAlignment="1">
      <alignment horizontal="left" vertical="center"/>
    </xf>
    <xf numFmtId="42" fontId="17" fillId="0" borderId="48" xfId="1" applyNumberFormat="1" applyFont="1" applyFill="1" applyBorder="1" applyAlignment="1">
      <alignment horizontal="left" vertical="center" wrapText="1"/>
    </xf>
    <xf numFmtId="42" fontId="17" fillId="0" borderId="24" xfId="1" applyNumberFormat="1" applyFont="1" applyBorder="1" applyAlignment="1">
      <alignment horizontal="left" vertical="center"/>
    </xf>
    <xf numFmtId="42" fontId="29" fillId="0" borderId="45" xfId="1" applyNumberFormat="1" applyFont="1" applyFill="1" applyBorder="1" applyAlignment="1">
      <alignment horizontal="left" vertical="center"/>
    </xf>
    <xf numFmtId="42" fontId="8" fillId="0" borderId="45" xfId="0" applyNumberFormat="1" applyFont="1" applyBorder="1" applyAlignment="1" applyProtection="1">
      <alignment horizontal="center" vertical="center" wrapText="1"/>
      <protection locked="0"/>
    </xf>
    <xf numFmtId="164" fontId="29" fillId="0" borderId="48" xfId="4" applyNumberFormat="1" applyFont="1" applyFill="1" applyBorder="1" applyAlignment="1">
      <alignment horizontal="left" vertical="center"/>
    </xf>
    <xf numFmtId="164" fontId="8" fillId="0" borderId="5" xfId="4" applyNumberFormat="1" applyFont="1" applyFill="1" applyBorder="1" applyAlignment="1">
      <alignment horizontal="left" vertical="center" wrapText="1"/>
    </xf>
    <xf numFmtId="0" fontId="10" fillId="0" borderId="48" xfId="0" applyFont="1" applyBorder="1" applyAlignment="1">
      <alignment horizontal="left" vertical="center" wrapText="1"/>
    </xf>
    <xf numFmtId="42" fontId="17" fillId="0" borderId="48" xfId="0" applyNumberFormat="1" applyFont="1" applyFill="1" applyBorder="1" applyAlignment="1">
      <alignment horizontal="center" vertical="center"/>
    </xf>
    <xf numFmtId="0" fontId="0" fillId="0" borderId="4" xfId="0" applyFill="1" applyBorder="1" applyAlignment="1">
      <alignment horizontal="center" vertical="center"/>
    </xf>
    <xf numFmtId="0" fontId="18" fillId="7" borderId="3" xfId="0" applyFont="1" applyFill="1" applyBorder="1" applyAlignment="1">
      <alignment horizontal="center" vertical="center" wrapText="1"/>
    </xf>
    <xf numFmtId="0" fontId="2" fillId="2" borderId="21" xfId="0" applyFont="1" applyFill="1" applyBorder="1" applyAlignment="1">
      <alignment horizontal="center"/>
    </xf>
    <xf numFmtId="0" fontId="0" fillId="2" borderId="1" xfId="0" applyFill="1" applyBorder="1"/>
    <xf numFmtId="0" fontId="0" fillId="0" borderId="1" xfId="0" applyBorder="1"/>
    <xf numFmtId="0" fontId="0" fillId="7" borderId="25" xfId="0" applyFill="1" applyBorder="1" applyAlignment="1">
      <alignment horizontal="center" vertical="center" wrapText="1"/>
    </xf>
    <xf numFmtId="0" fontId="18" fillId="8" borderId="30"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8" fillId="0" borderId="5" xfId="3" applyFont="1" applyBorder="1" applyAlignment="1">
      <alignment horizontal="left" vertical="center" wrapText="1"/>
    </xf>
    <xf numFmtId="9" fontId="5" fillId="0" borderId="34" xfId="2" applyFont="1" applyFill="1" applyBorder="1" applyAlignment="1">
      <alignment horizontal="center" vertical="center"/>
    </xf>
    <xf numFmtId="2" fontId="5" fillId="0" borderId="4" xfId="0" applyNumberFormat="1" applyFont="1" applyFill="1" applyBorder="1" applyAlignment="1">
      <alignment horizontal="center" vertical="center"/>
    </xf>
    <xf numFmtId="2" fontId="5" fillId="0" borderId="29"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2" fontId="22" fillId="0" borderId="50" xfId="0" applyNumberFormat="1" applyFont="1" applyFill="1" applyBorder="1" applyAlignment="1">
      <alignment horizontal="center" vertical="center"/>
    </xf>
    <xf numFmtId="9" fontId="5" fillId="0" borderId="31" xfId="2" applyFont="1" applyFill="1" applyBorder="1" applyAlignment="1">
      <alignment horizontal="center" vertical="center"/>
    </xf>
    <xf numFmtId="2" fontId="22" fillId="0" borderId="49" xfId="0" applyNumberFormat="1" applyFont="1" applyFill="1" applyBorder="1" applyAlignment="1">
      <alignment horizontal="center" vertical="center"/>
    </xf>
    <xf numFmtId="9" fontId="0" fillId="0" borderId="23" xfId="2" applyFont="1" applyFill="1" applyBorder="1" applyAlignment="1">
      <alignment horizontal="center" vertical="center"/>
    </xf>
    <xf numFmtId="0" fontId="17" fillId="0" borderId="23" xfId="0"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9" fontId="5" fillId="0" borderId="32" xfId="2" applyFont="1" applyFill="1" applyBorder="1" applyAlignment="1">
      <alignment horizontal="center" vertical="center"/>
    </xf>
    <xf numFmtId="42" fontId="17" fillId="0" borderId="26" xfId="0" applyNumberFormat="1" applyFont="1" applyFill="1" applyBorder="1" applyAlignment="1">
      <alignment horizontal="left" vertical="center"/>
    </xf>
    <xf numFmtId="42" fontId="17" fillId="0" borderId="34" xfId="0" applyNumberFormat="1" applyFont="1" applyBorder="1" applyAlignment="1" applyProtection="1">
      <alignment horizontal="center" vertical="center" wrapText="1"/>
      <protection locked="0"/>
    </xf>
    <xf numFmtId="42" fontId="17" fillId="0" borderId="45" xfId="0" applyNumberFormat="1" applyFont="1" applyFill="1" applyBorder="1" applyAlignment="1" applyProtection="1">
      <alignment horizontal="center" vertical="center" wrapText="1"/>
      <protection locked="0"/>
    </xf>
    <xf numFmtId="42" fontId="17" fillId="0" borderId="31" xfId="0" applyNumberFormat="1" applyFont="1" applyFill="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0" fontId="11" fillId="0" borderId="5" xfId="0" applyFont="1" applyFill="1" applyBorder="1" applyAlignment="1">
      <alignment horizontal="left" vertical="top" wrapText="1"/>
    </xf>
    <xf numFmtId="0" fontId="8" fillId="0" borderId="5" xfId="0" applyFont="1" applyFill="1" applyBorder="1" applyAlignment="1">
      <alignment horizontal="center" vertical="center" wrapText="1"/>
    </xf>
    <xf numFmtId="42" fontId="29" fillId="0" borderId="5" xfId="1" applyNumberFormat="1" applyFont="1" applyFill="1" applyBorder="1" applyAlignment="1">
      <alignment horizontal="left" vertical="center"/>
    </xf>
    <xf numFmtId="42" fontId="17" fillId="0" borderId="45" xfId="0" applyNumberFormat="1" applyFont="1" applyFill="1" applyBorder="1" applyAlignment="1">
      <alignment horizontal="center" vertical="center"/>
    </xf>
    <xf numFmtId="168" fontId="18" fillId="0" borderId="30" xfId="2" applyNumberFormat="1" applyFont="1" applyBorder="1" applyAlignment="1">
      <alignment horizontal="center"/>
    </xf>
    <xf numFmtId="42" fontId="3" fillId="14" borderId="54" xfId="0" applyNumberFormat="1" applyFont="1" applyFill="1" applyBorder="1" applyAlignment="1">
      <alignment horizontal="center"/>
    </xf>
    <xf numFmtId="0" fontId="4" fillId="0" borderId="4" xfId="0" applyFont="1" applyFill="1" applyBorder="1" applyAlignment="1">
      <alignment horizontal="center" vertical="center"/>
    </xf>
    <xf numFmtId="0" fontId="17" fillId="0" borderId="0" xfId="0" applyFont="1" applyBorder="1" applyAlignment="1">
      <alignment horizontal="left" vertical="center"/>
    </xf>
    <xf numFmtId="164" fontId="9" fillId="0" borderId="4" xfId="1" applyNumberFormat="1" applyFont="1" applyFill="1" applyBorder="1" applyAlignment="1">
      <alignment horizontal="left" vertical="top" wrapText="1"/>
    </xf>
    <xf numFmtId="42" fontId="17" fillId="0" borderId="45" xfId="1" applyNumberFormat="1" applyFont="1" applyFill="1" applyBorder="1" applyAlignment="1">
      <alignment horizontal="left" vertical="center" wrapText="1"/>
    </xf>
    <xf numFmtId="42" fontId="17" fillId="0" borderId="28" xfId="0" applyNumberFormat="1" applyFont="1" applyFill="1" applyBorder="1" applyAlignment="1">
      <alignment horizontal="center" vertical="center"/>
    </xf>
    <xf numFmtId="42" fontId="17" fillId="0" borderId="18" xfId="0" applyNumberFormat="1" applyFont="1" applyFill="1" applyBorder="1" applyAlignment="1">
      <alignment horizontal="center" vertical="center"/>
    </xf>
    <xf numFmtId="42" fontId="17" fillId="0" borderId="50" xfId="0" applyNumberFormat="1" applyFont="1" applyFill="1" applyBorder="1" applyAlignment="1">
      <alignment horizontal="left" vertical="center"/>
    </xf>
    <xf numFmtId="42" fontId="17" fillId="0" borderId="17" xfId="0" applyNumberFormat="1" applyFont="1" applyFill="1" applyBorder="1" applyAlignment="1">
      <alignment horizontal="center" vertical="center"/>
    </xf>
    <xf numFmtId="42" fontId="17" fillId="0" borderId="45" xfId="0" applyNumberFormat="1" applyFont="1" applyBorder="1" applyAlignment="1" applyProtection="1">
      <alignment horizontal="center" vertical="center" wrapText="1"/>
      <protection locked="0"/>
    </xf>
    <xf numFmtId="42" fontId="17" fillId="0" borderId="28" xfId="0" applyNumberFormat="1" applyFont="1" applyBorder="1" applyAlignment="1">
      <alignment horizontal="center" vertical="center"/>
    </xf>
    <xf numFmtId="42" fontId="5" fillId="0" borderId="50" xfId="0" applyNumberFormat="1" applyFont="1" applyFill="1" applyBorder="1" applyAlignment="1" applyProtection="1">
      <alignment horizontal="center" vertical="center" wrapText="1"/>
      <protection locked="0"/>
    </xf>
    <xf numFmtId="42" fontId="5" fillId="0" borderId="49" xfId="0" applyNumberFormat="1" applyFont="1" applyBorder="1" applyAlignment="1" applyProtection="1">
      <alignment horizontal="center" vertical="center" wrapText="1"/>
      <protection locked="0"/>
    </xf>
    <xf numFmtId="42" fontId="5" fillId="0" borderId="49" xfId="0" applyNumberFormat="1" applyFont="1" applyFill="1" applyBorder="1" applyAlignment="1" applyProtection="1">
      <alignment horizontal="center" vertical="center" wrapText="1"/>
      <protection locked="0"/>
    </xf>
    <xf numFmtId="42" fontId="17" fillId="0" borderId="18" xfId="0" applyNumberFormat="1" applyFont="1" applyBorder="1" applyAlignment="1">
      <alignment horizontal="center" vertical="center"/>
    </xf>
    <xf numFmtId="42" fontId="5" fillId="0" borderId="50" xfId="0" applyNumberFormat="1" applyFont="1" applyBorder="1" applyAlignment="1" applyProtection="1">
      <alignment horizontal="center" vertical="center" wrapText="1"/>
      <protection locked="0"/>
    </xf>
    <xf numFmtId="0" fontId="10" fillId="0" borderId="4" xfId="0" applyFont="1" applyFill="1" applyBorder="1" applyAlignment="1">
      <alignment horizontal="left" vertical="top" wrapText="1"/>
    </xf>
    <xf numFmtId="0" fontId="7" fillId="0" borderId="5" xfId="3" applyFont="1" applyFill="1" applyBorder="1" applyAlignment="1">
      <alignment horizontal="left" vertical="top" wrapText="1"/>
    </xf>
    <xf numFmtId="0" fontId="6" fillId="0" borderId="5" xfId="0" applyFont="1" applyFill="1" applyBorder="1" applyAlignment="1">
      <alignment horizontal="left" vertical="top" wrapText="1"/>
    </xf>
    <xf numFmtId="167" fontId="0" fillId="0" borderId="0" xfId="0" applyNumberFormat="1"/>
    <xf numFmtId="9" fontId="0" fillId="0" borderId="0" xfId="0" applyNumberFormat="1"/>
    <xf numFmtId="3" fontId="0" fillId="0" borderId="0" xfId="0" applyNumberFormat="1"/>
    <xf numFmtId="42" fontId="0" fillId="14" borderId="30" xfId="0" applyNumberFormat="1" applyFill="1" applyBorder="1"/>
    <xf numFmtId="0" fontId="0" fillId="0" borderId="21" xfId="0" applyBorder="1"/>
    <xf numFmtId="42" fontId="0" fillId="0" borderId="21" xfId="0" applyNumberFormat="1" applyBorder="1"/>
    <xf numFmtId="42" fontId="24" fillId="0" borderId="22" xfId="0" applyNumberFormat="1" applyFont="1" applyFill="1" applyBorder="1"/>
    <xf numFmtId="0" fontId="0" fillId="0" borderId="0" xfId="0" applyBorder="1" applyAlignment="1">
      <alignment vertical="center"/>
    </xf>
    <xf numFmtId="0" fontId="0" fillId="0" borderId="0" xfId="0" applyBorder="1" applyAlignment="1">
      <alignment textRotation="90"/>
    </xf>
    <xf numFmtId="42" fontId="0" fillId="0" borderId="0" xfId="0" applyNumberFormat="1" applyBorder="1"/>
    <xf numFmtId="0" fontId="25" fillId="0" borderId="1" xfId="0" applyFont="1" applyFill="1" applyBorder="1" applyAlignment="1">
      <alignment horizontal="center" vertical="center" wrapText="1"/>
    </xf>
    <xf numFmtId="0" fontId="0" fillId="0" borderId="1" xfId="0" applyBorder="1" applyAlignment="1">
      <alignment textRotation="90"/>
    </xf>
    <xf numFmtId="42" fontId="0" fillId="0" borderId="1" xfId="0" applyNumberFormat="1" applyBorder="1"/>
    <xf numFmtId="42" fontId="17" fillId="0" borderId="41" xfId="0" applyNumberFormat="1" applyFont="1" applyFill="1" applyBorder="1" applyAlignment="1">
      <alignment horizontal="left" vertical="center"/>
    </xf>
    <xf numFmtId="42" fontId="17" fillId="0" borderId="37" xfId="0" applyNumberFormat="1" applyFont="1" applyFill="1" applyBorder="1" applyAlignment="1">
      <alignment horizontal="left" vertical="center"/>
    </xf>
    <xf numFmtId="42" fontId="17" fillId="0" borderId="27" xfId="0" applyNumberFormat="1" applyFont="1" applyFill="1" applyBorder="1" applyAlignment="1">
      <alignment horizontal="center" vertical="center"/>
    </xf>
    <xf numFmtId="42" fontId="17" fillId="0" borderId="29" xfId="0" applyNumberFormat="1" applyFont="1" applyBorder="1" applyAlignment="1">
      <alignment horizontal="center" vertical="center"/>
    </xf>
    <xf numFmtId="42" fontId="17" fillId="0" borderId="29" xfId="0" applyNumberFormat="1" applyFont="1" applyFill="1" applyBorder="1" applyAlignment="1">
      <alignment horizontal="center" vertical="center"/>
    </xf>
    <xf numFmtId="42" fontId="17" fillId="0" borderId="29" xfId="1" applyNumberFormat="1" applyFont="1" applyBorder="1" applyAlignment="1">
      <alignment vertical="center"/>
    </xf>
    <xf numFmtId="42" fontId="29" fillId="0" borderId="29" xfId="0" applyNumberFormat="1" applyFont="1" applyFill="1" applyBorder="1" applyAlignment="1">
      <alignment horizontal="center" vertical="center"/>
    </xf>
    <xf numFmtId="42" fontId="17" fillId="0" borderId="29" xfId="1" applyNumberFormat="1" applyFont="1" applyBorder="1" applyAlignment="1">
      <alignment horizontal="left" vertical="center"/>
    </xf>
    <xf numFmtId="42" fontId="17" fillId="0" borderId="42"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8" fillId="0" borderId="4" xfId="3" applyFont="1" applyFill="1" applyBorder="1" applyAlignment="1">
      <alignment horizontal="left" vertical="top" wrapText="1"/>
    </xf>
    <xf numFmtId="0" fontId="11" fillId="0" borderId="4" xfId="0" applyFont="1" applyFill="1" applyBorder="1" applyAlignment="1">
      <alignment horizontal="left" vertical="top" wrapText="1"/>
    </xf>
    <xf numFmtId="42" fontId="29" fillId="0" borderId="45" xfId="1" applyNumberFormat="1" applyFont="1" applyFill="1" applyBorder="1" applyAlignment="1">
      <alignment horizontal="right" vertical="center"/>
    </xf>
    <xf numFmtId="42" fontId="17" fillId="0" borderId="5" xfId="1" applyNumberFormat="1" applyFont="1" applyBorder="1" applyAlignment="1">
      <alignment vertical="center"/>
    </xf>
    <xf numFmtId="42" fontId="17" fillId="0" borderId="5" xfId="1" applyNumberFormat="1" applyFont="1" applyBorder="1" applyAlignment="1">
      <alignment horizontal="left" vertical="center"/>
    </xf>
    <xf numFmtId="0" fontId="8" fillId="0" borderId="29" xfId="0" applyFont="1" applyFill="1" applyBorder="1" applyAlignment="1">
      <alignment horizontal="center" vertical="center" wrapText="1"/>
    </xf>
    <xf numFmtId="0" fontId="5" fillId="0" borderId="24" xfId="0" applyFont="1" applyBorder="1" applyAlignment="1">
      <alignment horizontal="center" vertical="center" wrapText="1"/>
    </xf>
    <xf numFmtId="42" fontId="17" fillId="0" borderId="5" xfId="0" applyNumberFormat="1" applyFont="1" applyBorder="1" applyAlignment="1">
      <alignment horizontal="center" vertical="center"/>
    </xf>
    <xf numFmtId="42" fontId="17" fillId="0" borderId="37" xfId="1" applyNumberFormat="1" applyFont="1" applyBorder="1" applyAlignment="1">
      <alignment horizontal="left" vertical="center"/>
    </xf>
    <xf numFmtId="0" fontId="0" fillId="0" borderId="4" xfId="0" applyBorder="1"/>
    <xf numFmtId="42" fontId="17" fillId="0" borderId="47" xfId="1" applyNumberFormat="1" applyFont="1" applyFill="1" applyBorder="1" applyAlignment="1">
      <alignment horizontal="left" vertical="center"/>
    </xf>
    <xf numFmtId="42" fontId="29" fillId="0" borderId="24" xfId="1" applyNumberFormat="1" applyFont="1" applyBorder="1" applyAlignment="1">
      <alignment horizontal="left" vertical="center"/>
    </xf>
    <xf numFmtId="0" fontId="33" fillId="2" borderId="20" xfId="0" applyFont="1" applyFill="1" applyBorder="1" applyAlignment="1">
      <alignment horizontal="left"/>
    </xf>
    <xf numFmtId="42" fontId="2" fillId="0" borderId="0" xfId="0" applyNumberFormat="1" applyFont="1" applyAlignment="1">
      <alignment horizontal="right" wrapText="1"/>
    </xf>
    <xf numFmtId="42" fontId="17" fillId="0" borderId="47" xfId="0" applyNumberFormat="1" applyFont="1" applyFill="1" applyBorder="1" applyAlignment="1">
      <alignment horizontal="left" vertical="center"/>
    </xf>
    <xf numFmtId="42" fontId="29" fillId="0" borderId="47" xfId="0" applyNumberFormat="1" applyFont="1" applyFill="1" applyBorder="1" applyAlignment="1">
      <alignment horizontal="left" vertical="center"/>
    </xf>
    <xf numFmtId="42" fontId="17" fillId="0" borderId="24" xfId="0" applyNumberFormat="1" applyFont="1" applyFill="1" applyBorder="1" applyAlignment="1">
      <alignment horizontal="left" vertical="center"/>
    </xf>
    <xf numFmtId="42" fontId="0" fillId="0" borderId="26" xfId="0" applyNumberFormat="1" applyBorder="1"/>
    <xf numFmtId="42" fontId="0" fillId="0" borderId="5" xfId="0" applyNumberFormat="1" applyBorder="1"/>
    <xf numFmtId="42" fontId="0" fillId="0" borderId="5" xfId="0" applyNumberFormat="1" applyFill="1" applyBorder="1"/>
    <xf numFmtId="42" fontId="0" fillId="0" borderId="5" xfId="0" applyNumberFormat="1" applyBorder="1" applyAlignment="1">
      <alignment vertical="center"/>
    </xf>
    <xf numFmtId="42" fontId="17" fillId="0" borderId="28" xfId="0" applyNumberFormat="1" applyFont="1" applyFill="1" applyBorder="1" applyAlignment="1">
      <alignment horizontal="left" vertical="center"/>
    </xf>
    <xf numFmtId="42" fontId="17" fillId="0" borderId="17" xfId="0" applyNumberFormat="1" applyFont="1" applyFill="1" applyBorder="1" applyAlignment="1">
      <alignment horizontal="left" vertical="center"/>
    </xf>
    <xf numFmtId="0" fontId="9" fillId="0" borderId="5" xfId="3" applyFont="1" applyFill="1" applyBorder="1" applyAlignment="1">
      <alignment vertical="top" wrapText="1"/>
    </xf>
    <xf numFmtId="42" fontId="17" fillId="0" borderId="48" xfId="1" applyNumberFormat="1" applyFont="1" applyFill="1" applyBorder="1" applyAlignment="1">
      <alignment vertical="center"/>
    </xf>
    <xf numFmtId="42" fontId="17" fillId="0" borderId="47" xfId="1" applyNumberFormat="1" applyFont="1" applyFill="1" applyBorder="1" applyAlignment="1">
      <alignment vertical="center"/>
    </xf>
    <xf numFmtId="42" fontId="0" fillId="0" borderId="53" xfId="0" applyNumberFormat="1" applyBorder="1"/>
    <xf numFmtId="9" fontId="0" fillId="0" borderId="0" xfId="0" applyNumberFormat="1" applyBorder="1"/>
    <xf numFmtId="42" fontId="2" fillId="0" borderId="0" xfId="0" applyNumberFormat="1" applyFont="1" applyBorder="1"/>
    <xf numFmtId="42" fontId="0" fillId="0" borderId="0" xfId="0" applyNumberFormat="1" applyFont="1" applyAlignment="1">
      <alignment horizontal="left"/>
    </xf>
    <xf numFmtId="42" fontId="2" fillId="0" borderId="0" xfId="0" applyNumberFormat="1" applyFont="1" applyAlignment="1">
      <alignment horizontal="left"/>
    </xf>
    <xf numFmtId="0" fontId="27" fillId="14" borderId="19" xfId="0" applyFont="1" applyFill="1" applyBorder="1" applyAlignment="1">
      <alignment horizontal="center" vertical="center" wrapText="1"/>
    </xf>
    <xf numFmtId="0" fontId="28" fillId="14" borderId="36" xfId="0" applyFont="1" applyFill="1" applyBorder="1" applyAlignment="1">
      <alignment horizontal="center" vertical="center" wrapText="1"/>
    </xf>
    <xf numFmtId="0" fontId="28" fillId="14" borderId="30" xfId="0" applyFont="1" applyFill="1" applyBorder="1" applyAlignment="1">
      <alignment horizontal="center" vertical="center" wrapText="1"/>
    </xf>
    <xf numFmtId="0" fontId="18" fillId="2" borderId="19" xfId="0" applyFont="1" applyFill="1" applyBorder="1" applyAlignment="1">
      <alignment horizontal="center"/>
    </xf>
    <xf numFmtId="0" fontId="2" fillId="2" borderId="36" xfId="0" applyFont="1" applyFill="1" applyBorder="1" applyAlignment="1">
      <alignment horizontal="center"/>
    </xf>
    <xf numFmtId="0" fontId="18" fillId="4" borderId="19" xfId="0" applyFont="1" applyFill="1" applyBorder="1" applyAlignment="1">
      <alignment horizontal="center" vertical="center" wrapText="1"/>
    </xf>
    <xf numFmtId="0" fontId="0" fillId="4" borderId="30" xfId="0" applyFill="1" applyBorder="1" applyAlignment="1"/>
    <xf numFmtId="0" fontId="19" fillId="9" borderId="20" xfId="0" applyFont="1" applyFill="1" applyBorder="1" applyAlignment="1">
      <alignment horizontal="center" vertical="center" wrapText="1"/>
    </xf>
    <xf numFmtId="0" fontId="21" fillId="9" borderId="21" xfId="0" applyFont="1" applyFill="1" applyBorder="1" applyAlignment="1"/>
    <xf numFmtId="0" fontId="21" fillId="9" borderId="22" xfId="0" applyFont="1" applyFill="1" applyBorder="1" applyAlignment="1"/>
    <xf numFmtId="0" fontId="18" fillId="2" borderId="19" xfId="0" applyFont="1" applyFill="1" applyBorder="1" applyAlignment="1">
      <alignment horizontal="center" vertical="center" wrapText="1"/>
    </xf>
    <xf numFmtId="0" fontId="22" fillId="0" borderId="36" xfId="0" applyFont="1" applyBorder="1" applyAlignment="1"/>
    <xf numFmtId="0" fontId="22" fillId="0" borderId="30" xfId="0" applyFont="1" applyBorder="1" applyAlignment="1"/>
    <xf numFmtId="0" fontId="23" fillId="6" borderId="15" xfId="0" applyFont="1" applyFill="1" applyBorder="1" applyAlignment="1">
      <alignment horizontal="center" vertical="center" wrapText="1"/>
    </xf>
  </cellXfs>
  <cellStyles count="7">
    <cellStyle name="Currency" xfId="1" builtinId="4"/>
    <cellStyle name="Currency 2" xfId="4" xr:uid="{00000000-0005-0000-0000-000001000000}"/>
    <cellStyle name="Normal" xfId="0" builtinId="0"/>
    <cellStyle name="Normal 2" xfId="5" xr:uid="{00000000-0005-0000-0000-000003000000}"/>
    <cellStyle name="Normal 3" xfId="6" xr:uid="{00000000-0005-0000-0000-000004000000}"/>
    <cellStyle name="Normal 4" xfId="3" xr:uid="{00000000-0005-0000-0000-000005000000}"/>
    <cellStyle name="Percent" xfId="2" builtinId="5"/>
  </cellStyles>
  <dxfs count="220">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s>
  <tableStyles count="0" defaultTableStyle="TableStyleMedium2" defaultPivotStyle="PivotStyleLight16"/>
  <colors>
    <mruColors>
      <color rgb="FFF5455E"/>
      <color rgb="FF7ED080"/>
      <color rgb="FFF42E4A"/>
      <color rgb="FF7BCF7D"/>
      <color rgb="FF6FCB71"/>
      <color rgb="FF62C664"/>
      <color rgb="FF8DD58F"/>
      <color rgb="FFD8F4E7"/>
      <color rgb="FFDCF0DE"/>
      <color rgb="FFE5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94"/>
  <sheetViews>
    <sheetView tabSelected="1" view="pageLayout" topLeftCell="B275" zoomScale="80" zoomScaleNormal="80" zoomScalePageLayoutView="80" workbookViewId="0">
      <selection activeCell="AS290" sqref="AS290"/>
    </sheetView>
  </sheetViews>
  <sheetFormatPr defaultRowHeight="15" outlineLevelCol="1"/>
  <cols>
    <col min="1" max="1" width="6.7109375" hidden="1" customWidth="1"/>
    <col min="2" max="2" width="7.7109375" customWidth="1"/>
    <col min="3" max="3" width="10" customWidth="1"/>
    <col min="4" max="4" width="11.85546875" style="121" hidden="1" customWidth="1"/>
    <col min="5" max="5" width="26" style="128" customWidth="1"/>
    <col min="6" max="6" width="34.7109375" style="120" customWidth="1"/>
    <col min="7" max="7" width="35.140625" style="120" hidden="1" customWidth="1"/>
    <col min="8" max="8" width="14.85546875" customWidth="1"/>
    <col min="9" max="9" width="9.7109375" hidden="1" customWidth="1" outlineLevel="1"/>
    <col min="10" max="10" width="9.5703125" hidden="1" customWidth="1" outlineLevel="1"/>
    <col min="11" max="13" width="9.140625" hidden="1" customWidth="1" outlineLevel="1"/>
    <col min="14" max="16" width="8.85546875" hidden="1" customWidth="1" outlineLevel="1"/>
    <col min="17" max="20" width="8.7109375" hidden="1" customWidth="1" outlineLevel="1"/>
    <col min="21" max="21" width="11.140625" hidden="1" customWidth="1" collapsed="1"/>
    <col min="22" max="32" width="8.85546875" hidden="1" customWidth="1" outlineLevel="1"/>
    <col min="33" max="33" width="9.140625" hidden="1" customWidth="1" collapsed="1"/>
    <col min="34" max="34" width="9.140625" hidden="1" customWidth="1"/>
    <col min="35" max="35" width="7.42578125" customWidth="1"/>
    <col min="36" max="36" width="9.140625" hidden="1" customWidth="1"/>
    <col min="37" max="37" width="9.140625" customWidth="1"/>
    <col min="38" max="38" width="13.140625" style="99" customWidth="1"/>
    <col min="39" max="39" width="13.5703125" style="99" hidden="1" customWidth="1" outlineLevel="1"/>
    <col min="40" max="40" width="13" style="99" hidden="1" customWidth="1" outlineLevel="1"/>
    <col min="41" max="41" width="13.28515625" style="99" hidden="1" customWidth="1" outlineLevel="1"/>
    <col min="42" max="43" width="15" style="99" hidden="1" customWidth="1" outlineLevel="1"/>
    <col min="44" max="44" width="14" customWidth="1" collapsed="1"/>
    <col min="45" max="45" width="13" customWidth="1" collapsed="1"/>
    <col min="46" max="46" width="13.85546875" customWidth="1"/>
    <col min="47" max="48" width="13.42578125" customWidth="1"/>
    <col min="49" max="49" width="9.140625" hidden="1" customWidth="1"/>
    <col min="50" max="186" width="9.140625" customWidth="1"/>
  </cols>
  <sheetData>
    <row r="1" spans="1:49" ht="45" customHeight="1">
      <c r="A1" s="150"/>
      <c r="B1" s="318" t="str">
        <f ca="1">"FY"&amp; (YEAR(TODAY())+2)&amp;"-" &amp; (YEAR(TODAY())+6)&amp;" CIP by Priority"</f>
        <v>FY2022-2026 CIP by Priority</v>
      </c>
      <c r="C1" s="93"/>
      <c r="D1" s="129"/>
      <c r="E1" s="93"/>
      <c r="F1" s="110"/>
      <c r="G1" s="110"/>
      <c r="H1" s="93"/>
      <c r="I1" s="235" t="s">
        <v>350</v>
      </c>
      <c r="J1" s="53" t="s">
        <v>352</v>
      </c>
      <c r="K1" s="342" t="s">
        <v>353</v>
      </c>
      <c r="L1" s="343"/>
      <c r="M1" s="350" t="s">
        <v>358</v>
      </c>
      <c r="N1" s="350"/>
      <c r="O1" s="350"/>
      <c r="P1" s="350"/>
      <c r="Q1" s="350"/>
      <c r="R1" s="350"/>
      <c r="S1" s="350"/>
      <c r="T1" s="350"/>
      <c r="U1" s="172"/>
      <c r="V1" s="172"/>
      <c r="W1" s="173"/>
      <c r="X1" s="173"/>
      <c r="Y1" s="173"/>
      <c r="Z1" s="173"/>
      <c r="AA1" s="173"/>
      <c r="AB1" s="173"/>
      <c r="AC1" s="173"/>
      <c r="AD1" s="173"/>
      <c r="AE1" s="173"/>
      <c r="AF1" s="173"/>
      <c r="AG1" s="48" t="s">
        <v>372</v>
      </c>
      <c r="AH1" s="175" t="s">
        <v>372</v>
      </c>
      <c r="AI1" s="286"/>
      <c r="AJ1" s="286"/>
      <c r="AK1" s="286"/>
      <c r="AL1" s="287"/>
      <c r="AM1" s="287"/>
      <c r="AN1" s="287"/>
      <c r="AO1" s="287"/>
      <c r="AP1" s="287"/>
      <c r="AQ1" s="288"/>
      <c r="AR1" s="337" t="s">
        <v>701</v>
      </c>
      <c r="AS1" s="338"/>
      <c r="AT1" s="338"/>
      <c r="AU1" s="338"/>
      <c r="AV1" s="339"/>
      <c r="AW1" s="77"/>
    </row>
    <row r="2" spans="1:49" ht="16.5" customHeight="1">
      <c r="A2" s="94"/>
      <c r="C2" s="127"/>
      <c r="D2" s="130"/>
      <c r="E2" s="289"/>
      <c r="F2" s="111"/>
      <c r="G2" s="111"/>
      <c r="H2" s="95"/>
      <c r="I2" s="236" t="s">
        <v>351</v>
      </c>
      <c r="J2" s="344" t="s">
        <v>351</v>
      </c>
      <c r="K2" s="345"/>
      <c r="L2" s="346"/>
      <c r="M2" s="58" t="s">
        <v>351</v>
      </c>
      <c r="N2" s="58" t="s">
        <v>351</v>
      </c>
      <c r="O2" s="58" t="s">
        <v>351</v>
      </c>
      <c r="P2" s="58" t="s">
        <v>351</v>
      </c>
      <c r="Q2" s="58" t="s">
        <v>351</v>
      </c>
      <c r="R2" s="58" t="s">
        <v>351</v>
      </c>
      <c r="S2" s="58" t="s">
        <v>351</v>
      </c>
      <c r="T2" s="58" t="s">
        <v>351</v>
      </c>
      <c r="U2" s="65" t="s">
        <v>367</v>
      </c>
      <c r="V2" s="68"/>
      <c r="W2" s="290"/>
      <c r="X2" s="290"/>
      <c r="Y2" s="290"/>
      <c r="Z2" s="290"/>
      <c r="AA2" s="290"/>
      <c r="AB2" s="290"/>
      <c r="AC2" s="290"/>
      <c r="AD2" s="290"/>
      <c r="AE2" s="290"/>
      <c r="AF2" s="290"/>
      <c r="AG2" s="76">
        <v>0.75</v>
      </c>
      <c r="AH2" s="231">
        <v>6</v>
      </c>
      <c r="AI2" s="127"/>
      <c r="AJ2" s="127"/>
      <c r="AK2" s="127"/>
      <c r="AL2" s="291"/>
      <c r="AM2" s="337" t="s">
        <v>759</v>
      </c>
      <c r="AN2" s="338"/>
      <c r="AO2" s="338"/>
      <c r="AP2" s="338"/>
      <c r="AQ2" s="285"/>
      <c r="AR2" s="78" t="s">
        <v>377</v>
      </c>
      <c r="AS2" s="78" t="s">
        <v>377</v>
      </c>
      <c r="AT2" s="78" t="s">
        <v>377</v>
      </c>
      <c r="AU2" s="79" t="s">
        <v>377</v>
      </c>
      <c r="AV2" s="79" t="s">
        <v>377</v>
      </c>
      <c r="AW2" s="77"/>
    </row>
    <row r="3" spans="1:49" ht="19.5" customHeight="1">
      <c r="A3" s="96"/>
      <c r="B3" s="96"/>
      <c r="C3" s="97"/>
      <c r="D3" s="131"/>
      <c r="E3" s="97"/>
      <c r="F3" s="112"/>
      <c r="G3" s="112"/>
      <c r="H3" s="97"/>
      <c r="I3" s="237">
        <v>2</v>
      </c>
      <c r="J3" s="347">
        <v>1</v>
      </c>
      <c r="K3" s="348"/>
      <c r="L3" s="349"/>
      <c r="M3" s="59">
        <v>9</v>
      </c>
      <c r="N3" s="59">
        <v>6</v>
      </c>
      <c r="O3" s="59">
        <v>8</v>
      </c>
      <c r="P3" s="59">
        <v>10</v>
      </c>
      <c r="Q3" s="59">
        <v>5</v>
      </c>
      <c r="R3" s="59">
        <v>7</v>
      </c>
      <c r="S3" s="59">
        <v>6</v>
      </c>
      <c r="T3" s="59">
        <v>6</v>
      </c>
      <c r="U3" s="66">
        <f>SUM(M3:T3)</f>
        <v>57</v>
      </c>
      <c r="V3" s="292"/>
      <c r="W3" s="293"/>
      <c r="X3" s="293"/>
      <c r="Y3" s="293"/>
      <c r="Z3" s="293"/>
      <c r="AA3" s="293"/>
      <c r="AB3" s="293"/>
      <c r="AC3" s="293"/>
      <c r="AD3" s="293"/>
      <c r="AE3" s="293"/>
      <c r="AF3" s="293"/>
      <c r="AG3" s="75"/>
      <c r="AH3" s="232"/>
      <c r="AI3" s="233"/>
      <c r="AJ3" s="233"/>
      <c r="AK3" s="80"/>
      <c r="AL3" s="294"/>
      <c r="AM3" s="340" t="s">
        <v>760</v>
      </c>
      <c r="AN3" s="341"/>
      <c r="AO3" s="341"/>
      <c r="AP3" s="341"/>
      <c r="AQ3" s="262">
        <v>3.5000000000000003E-2</v>
      </c>
      <c r="AR3" s="81">
        <f>SUM(AR5:AR284)</f>
        <v>49429015</v>
      </c>
      <c r="AS3" s="81">
        <f>SUM(AS5:AS284)</f>
        <v>72428226.375</v>
      </c>
      <c r="AT3" s="81">
        <f>SUM(AT5:AT284)</f>
        <v>62504465.062499993</v>
      </c>
      <c r="AU3" s="82">
        <f>SUM(AU5:AU284)</f>
        <v>38704817.862096734</v>
      </c>
      <c r="AV3" s="82">
        <f>SUM(AV5:AV284)</f>
        <v>15373204.875281245</v>
      </c>
      <c r="AW3" s="83"/>
    </row>
    <row r="4" spans="1:49" ht="36" customHeight="1">
      <c r="A4" s="171" t="s">
        <v>415</v>
      </c>
      <c r="B4" s="234" t="s">
        <v>0</v>
      </c>
      <c r="C4" s="105" t="s">
        <v>1</v>
      </c>
      <c r="D4" s="105" t="s">
        <v>2</v>
      </c>
      <c r="E4" s="105" t="s">
        <v>3</v>
      </c>
      <c r="F4" s="105" t="s">
        <v>4</v>
      </c>
      <c r="G4" s="105" t="s">
        <v>5</v>
      </c>
      <c r="H4" s="105" t="str">
        <f ca="1">"Est Cost in FY"&amp;YEAR(TODAY())+1</f>
        <v>Est Cost in FY2021</v>
      </c>
      <c r="I4" s="48" t="s">
        <v>356</v>
      </c>
      <c r="J4" s="54" t="s">
        <v>357</v>
      </c>
      <c r="K4" s="55" t="s">
        <v>354</v>
      </c>
      <c r="L4" s="55" t="s">
        <v>355</v>
      </c>
      <c r="M4" s="60" t="s">
        <v>359</v>
      </c>
      <c r="N4" s="60" t="s">
        <v>366</v>
      </c>
      <c r="O4" s="60" t="s">
        <v>412</v>
      </c>
      <c r="P4" s="60" t="s">
        <v>420</v>
      </c>
      <c r="Q4" s="60" t="s">
        <v>363</v>
      </c>
      <c r="R4" s="60" t="s">
        <v>364</v>
      </c>
      <c r="S4" s="60" t="s">
        <v>382</v>
      </c>
      <c r="T4" s="61" t="s">
        <v>365</v>
      </c>
      <c r="U4" s="73" t="s">
        <v>368</v>
      </c>
      <c r="V4" s="73" t="s">
        <v>369</v>
      </c>
      <c r="W4" s="73" t="s">
        <v>359</v>
      </c>
      <c r="X4" s="73" t="s">
        <v>360</v>
      </c>
      <c r="Y4" s="73" t="s">
        <v>361</v>
      </c>
      <c r="Z4" s="73" t="s">
        <v>362</v>
      </c>
      <c r="AA4" s="73" t="s">
        <v>363</v>
      </c>
      <c r="AB4" s="73" t="s">
        <v>364</v>
      </c>
      <c r="AC4" s="73" t="s">
        <v>382</v>
      </c>
      <c r="AD4" s="74" t="s">
        <v>365</v>
      </c>
      <c r="AE4" s="74" t="s">
        <v>370</v>
      </c>
      <c r="AF4" s="74" t="s">
        <v>371</v>
      </c>
      <c r="AG4" s="48" t="s">
        <v>373</v>
      </c>
      <c r="AH4" s="175" t="s">
        <v>374</v>
      </c>
      <c r="AI4" s="230" t="s">
        <v>375</v>
      </c>
      <c r="AJ4" s="178" t="s">
        <v>376</v>
      </c>
      <c r="AK4" s="161" t="s">
        <v>326</v>
      </c>
      <c r="AL4" s="174" t="s">
        <v>398</v>
      </c>
      <c r="AM4" s="84" t="str">
        <f ca="1">"FY"&amp;YEAR(TODAY())+2</f>
        <v>FY2022</v>
      </c>
      <c r="AN4" s="84" t="str">
        <f ca="1">"FY"&amp;YEAR(TODAY())+3</f>
        <v>FY2023</v>
      </c>
      <c r="AO4" s="84" t="str">
        <f ca="1">"FY"&amp;YEAR(TODAY())+4</f>
        <v>FY2024</v>
      </c>
      <c r="AP4" s="263" t="str">
        <f ca="1">"FY"&amp;YEAR(TODAY())+5</f>
        <v>FY2025</v>
      </c>
      <c r="AQ4" s="263" t="str">
        <f ca="1">"FY"&amp;YEAR(TODAY())+6</f>
        <v>FY2026</v>
      </c>
      <c r="AR4" s="162" t="str">
        <f ca="1">AM4</f>
        <v>FY2022</v>
      </c>
      <c r="AS4" s="162" t="str">
        <f ca="1">AN4</f>
        <v>FY2023</v>
      </c>
      <c r="AT4" s="162" t="str">
        <f ca="1">AO4</f>
        <v>FY2024</v>
      </c>
      <c r="AU4" s="163" t="str">
        <f ca="1">AP4</f>
        <v>FY2025</v>
      </c>
      <c r="AV4" s="163" t="str">
        <f ca="1">AQ4</f>
        <v>FY2026</v>
      </c>
      <c r="AW4" s="85"/>
    </row>
    <row r="5" spans="1:49" ht="36" customHeight="1">
      <c r="A5" s="1">
        <v>4</v>
      </c>
      <c r="B5" s="229">
        <v>1</v>
      </c>
      <c r="C5" s="154" t="s">
        <v>6</v>
      </c>
      <c r="D5" s="155" t="s">
        <v>7</v>
      </c>
      <c r="E5" s="167" t="s">
        <v>741</v>
      </c>
      <c r="F5" s="4" t="s">
        <v>705</v>
      </c>
      <c r="G5" s="4" t="s">
        <v>11</v>
      </c>
      <c r="H5" s="223">
        <v>37500000</v>
      </c>
      <c r="I5" s="49">
        <v>2</v>
      </c>
      <c r="J5" s="247">
        <v>0</v>
      </c>
      <c r="K5" s="49"/>
      <c r="L5" s="248"/>
      <c r="M5" s="249">
        <v>10</v>
      </c>
      <c r="N5" s="250">
        <v>10</v>
      </c>
      <c r="O5" s="250">
        <v>4.0000000000000027</v>
      </c>
      <c r="P5" s="250">
        <v>6.0000000000000036</v>
      </c>
      <c r="Q5" s="250">
        <v>4.0000000000000027</v>
      </c>
      <c r="R5" s="250">
        <v>9</v>
      </c>
      <c r="S5" s="250">
        <v>5</v>
      </c>
      <c r="T5" s="251">
        <v>9.9999999999999982</v>
      </c>
      <c r="U5" s="245" t="e">
        <f t="shared" ref="U5:U36" ca="1" si="0">(L5-(YEAR(TODAY())-K5))/L5</f>
        <v>#DIV/0!</v>
      </c>
      <c r="V5" s="252">
        <f t="shared" ref="V5:V36" ca="1" si="1">IFERROR(U5,J5)</f>
        <v>0</v>
      </c>
      <c r="W5" s="241">
        <f t="shared" ref="W5:W36" si="2">M5*Weight1/(WSum)</f>
        <v>1.5789473684210527</v>
      </c>
      <c r="X5" s="241">
        <f>N5*Weight2/(WSum)</f>
        <v>1.0526315789473684</v>
      </c>
      <c r="Y5" s="241">
        <f>O5*Weight3/(WSum)</f>
        <v>0.56140350877193024</v>
      </c>
      <c r="Z5" s="241">
        <f t="shared" ref="Z5:Z36" si="3">P5*Weight4/(WSum)</f>
        <v>1.052631578947369</v>
      </c>
      <c r="AA5" s="241">
        <f>Q5*Weight5/(WSum)</f>
        <v>0.3508771929824564</v>
      </c>
      <c r="AB5" s="241">
        <f t="shared" ref="AB5:AB36" si="4">R5*Weight6/(WSum)</f>
        <v>1.1052631578947369</v>
      </c>
      <c r="AC5" s="241">
        <f t="shared" ref="AC5:AC36" si="5">S5*Weight7/(WSum)</f>
        <v>0.52631578947368418</v>
      </c>
      <c r="AD5" s="242">
        <f>T5*Weight8/(WSum)</f>
        <v>1.0526315789473681</v>
      </c>
      <c r="AE5" s="243">
        <f t="shared" ref="AE5:AE36" si="6">-1/10*I5+1</f>
        <v>0.8</v>
      </c>
      <c r="AF5" s="243">
        <f t="shared" ref="AF5:AF36" ca="1" si="7">IF(V5&lt;0,0,-V5+1)</f>
        <v>1</v>
      </c>
      <c r="AG5" s="202">
        <f t="shared" ref="AG5:AG36" ca="1" si="8">(AE5*CondWeight+AF5*PLifeWeight)/(CondWeight+PLifeWeight)</f>
        <v>0.8666666666666667</v>
      </c>
      <c r="AH5" s="244">
        <f t="shared" ref="AH5:AH36" si="9">SUM(W5:AD5)</f>
        <v>7.2807017543859667</v>
      </c>
      <c r="AI5" s="184">
        <f t="shared" ref="AI5:AI36" ca="1" si="10">AH5*AG5*10</f>
        <v>63.09941520467838</v>
      </c>
      <c r="AJ5" s="179" t="str">
        <f t="shared" ref="AJ5:AJ36" ca="1" si="11">IF(AG5&gt;$AG$2,IF(AH5&gt;$AH$2,"Q1","Q2"),IF(AH5&gt;$AH$2,"Q3","Q4"))</f>
        <v>Q1</v>
      </c>
      <c r="AK5" s="86" t="s">
        <v>378</v>
      </c>
      <c r="AL5" s="255">
        <v>2500000</v>
      </c>
      <c r="AM5" s="271">
        <v>19500000</v>
      </c>
      <c r="AN5" s="103">
        <v>15500000</v>
      </c>
      <c r="AO5" s="103">
        <v>0</v>
      </c>
      <c r="AP5" s="108"/>
      <c r="AQ5" s="297"/>
      <c r="AR5" s="328">
        <f>AM5</f>
        <v>19500000</v>
      </c>
      <c r="AS5" s="253">
        <f>AN5*(1+Efactor)</f>
        <v>16042499.999999998</v>
      </c>
      <c r="AT5" s="253"/>
      <c r="AU5" s="253"/>
      <c r="AV5" s="323"/>
      <c r="AW5" s="87"/>
    </row>
    <row r="6" spans="1:49" ht="36" customHeight="1">
      <c r="A6" s="153">
        <v>5</v>
      </c>
      <c r="B6" s="229">
        <v>2</v>
      </c>
      <c r="C6" s="154" t="s">
        <v>12</v>
      </c>
      <c r="D6" s="155" t="s">
        <v>7</v>
      </c>
      <c r="E6" s="12" t="s">
        <v>747</v>
      </c>
      <c r="F6" s="13" t="s">
        <v>693</v>
      </c>
      <c r="G6" s="102" t="s">
        <v>13</v>
      </c>
      <c r="H6" s="213">
        <v>15386000</v>
      </c>
      <c r="I6" s="50">
        <v>3</v>
      </c>
      <c r="J6" s="156">
        <v>0.1</v>
      </c>
      <c r="K6" s="50"/>
      <c r="L6" s="157"/>
      <c r="M6" s="158">
        <v>8</v>
      </c>
      <c r="N6" s="159">
        <v>8</v>
      </c>
      <c r="O6" s="159">
        <v>5</v>
      </c>
      <c r="P6" s="159">
        <v>8</v>
      </c>
      <c r="Q6" s="159">
        <v>7</v>
      </c>
      <c r="R6" s="159">
        <v>9</v>
      </c>
      <c r="S6" s="159">
        <v>3</v>
      </c>
      <c r="T6" s="160">
        <v>9</v>
      </c>
      <c r="U6" s="67" t="e">
        <f t="shared" ca="1" si="0"/>
        <v>#DIV/0!</v>
      </c>
      <c r="V6" s="67">
        <f t="shared" ca="1" si="1"/>
        <v>0.1</v>
      </c>
      <c r="W6" s="69">
        <f t="shared" si="2"/>
        <v>1.263157894736842</v>
      </c>
      <c r="X6" s="69">
        <f>N6*Weight2/(WSum)</f>
        <v>0.84210526315789469</v>
      </c>
      <c r="Y6" s="69">
        <f>O6*Weight3/(WSum)</f>
        <v>0.70175438596491224</v>
      </c>
      <c r="Z6" s="69">
        <f t="shared" si="3"/>
        <v>1.4035087719298245</v>
      </c>
      <c r="AA6" s="69">
        <f>Q6*Weight5/(WSum)</f>
        <v>0.61403508771929827</v>
      </c>
      <c r="AB6" s="69">
        <f t="shared" si="4"/>
        <v>1.1052631578947369</v>
      </c>
      <c r="AC6" s="69">
        <f t="shared" si="5"/>
        <v>0.31578947368421051</v>
      </c>
      <c r="AD6" s="70">
        <f>T6*Weight8/(WSum)</f>
        <v>0.94736842105263153</v>
      </c>
      <c r="AE6" s="71">
        <f t="shared" si="6"/>
        <v>0.7</v>
      </c>
      <c r="AF6" s="71">
        <f t="shared" ca="1" si="7"/>
        <v>0.9</v>
      </c>
      <c r="AG6" s="72">
        <f t="shared" ca="1" si="8"/>
        <v>0.76666666666666661</v>
      </c>
      <c r="AH6" s="177">
        <f t="shared" si="9"/>
        <v>7.192982456140351</v>
      </c>
      <c r="AI6" s="185">
        <f t="shared" ca="1" si="10"/>
        <v>55.146198830409354</v>
      </c>
      <c r="AJ6" s="179" t="str">
        <f t="shared" ca="1" si="11"/>
        <v>Q1</v>
      </c>
      <c r="AK6" s="90" t="s">
        <v>329</v>
      </c>
      <c r="AL6" s="270">
        <v>500000</v>
      </c>
      <c r="AM6" s="268">
        <v>2000000</v>
      </c>
      <c r="AN6" s="103">
        <v>7500000</v>
      </c>
      <c r="AO6" s="98">
        <v>5386000</v>
      </c>
      <c r="AP6" s="188" t="s">
        <v>416</v>
      </c>
      <c r="AQ6" s="298"/>
      <c r="AR6" s="327">
        <f t="shared" ref="AR6:AR46" si="12">AM6</f>
        <v>2000000</v>
      </c>
      <c r="AS6" s="166">
        <f>AN6*(1+Efactor)</f>
        <v>7762499.9999999991</v>
      </c>
      <c r="AT6" s="166">
        <f>AO6*(1+Efactor)^2</f>
        <v>5769617.8499999996</v>
      </c>
      <c r="AU6" s="166"/>
      <c r="AV6" s="324"/>
      <c r="AW6" s="89"/>
    </row>
    <row r="7" spans="1:49" ht="36" customHeight="1">
      <c r="A7" s="264"/>
      <c r="B7" s="229">
        <v>3</v>
      </c>
      <c r="C7" s="154" t="s">
        <v>12</v>
      </c>
      <c r="D7" s="155" t="s">
        <v>7</v>
      </c>
      <c r="E7" s="279" t="s">
        <v>748</v>
      </c>
      <c r="F7" s="182" t="s">
        <v>704</v>
      </c>
      <c r="G7" s="266" t="s">
        <v>702</v>
      </c>
      <c r="H7" s="267">
        <v>6372000</v>
      </c>
      <c r="I7" s="138">
        <v>3</v>
      </c>
      <c r="J7" s="186">
        <v>0.2</v>
      </c>
      <c r="K7" s="138"/>
      <c r="L7" s="187"/>
      <c r="M7" s="158">
        <v>8.0000000000000053</v>
      </c>
      <c r="N7" s="159">
        <v>8</v>
      </c>
      <c r="O7" s="159">
        <v>5.0000000000000027</v>
      </c>
      <c r="P7" s="159">
        <v>8</v>
      </c>
      <c r="Q7" s="159">
        <v>6.0000000000000036</v>
      </c>
      <c r="R7" s="63">
        <v>7</v>
      </c>
      <c r="S7" s="63">
        <v>4</v>
      </c>
      <c r="T7" s="64">
        <v>8.0000000000000053</v>
      </c>
      <c r="U7" s="141" t="e">
        <f t="shared" ca="1" si="0"/>
        <v>#DIV/0!</v>
      </c>
      <c r="V7" s="141">
        <f t="shared" ca="1" si="1"/>
        <v>0.2</v>
      </c>
      <c r="W7" s="69">
        <f t="shared" si="2"/>
        <v>1.2631578947368429</v>
      </c>
      <c r="X7" s="69">
        <f>N7*Weight/(WSum)</f>
        <v>0.84210526315789469</v>
      </c>
      <c r="Y7" s="69">
        <f>O7*rooney/(WSum)</f>
        <v>0.70175438596491269</v>
      </c>
      <c r="Z7" s="69">
        <f t="shared" si="3"/>
        <v>1.4035087719298245</v>
      </c>
      <c r="AA7" s="69">
        <f>Q7*really/(WSum)</f>
        <v>0.52631578947368451</v>
      </c>
      <c r="AB7" s="69">
        <f t="shared" si="4"/>
        <v>0.85964912280701755</v>
      </c>
      <c r="AC7" s="69">
        <f t="shared" si="5"/>
        <v>0.42105263157894735</v>
      </c>
      <c r="AD7" s="70">
        <f>T7*question/(WSum)</f>
        <v>0.84210526315789525</v>
      </c>
      <c r="AE7" s="71">
        <f t="shared" si="6"/>
        <v>0.7</v>
      </c>
      <c r="AF7" s="71">
        <f t="shared" ca="1" si="7"/>
        <v>0.8</v>
      </c>
      <c r="AG7" s="72">
        <f t="shared" ca="1" si="8"/>
        <v>0.73333333333333339</v>
      </c>
      <c r="AH7" s="176">
        <f t="shared" si="9"/>
        <v>6.8596491228070189</v>
      </c>
      <c r="AI7" s="184">
        <f t="shared" ca="1" si="10"/>
        <v>50.304093567251478</v>
      </c>
      <c r="AJ7" s="179" t="str">
        <f t="shared" ca="1" si="11"/>
        <v>Q3</v>
      </c>
      <c r="AK7" s="135" t="s">
        <v>329</v>
      </c>
      <c r="AL7" s="254">
        <v>1000000</v>
      </c>
      <c r="AM7" s="268">
        <v>5372000</v>
      </c>
      <c r="AN7" s="103" t="s">
        <v>416</v>
      </c>
      <c r="AO7" s="103" t="s">
        <v>416</v>
      </c>
      <c r="AP7" s="103"/>
      <c r="AQ7" s="299"/>
      <c r="AR7" s="327">
        <f t="shared" si="12"/>
        <v>5372000</v>
      </c>
      <c r="AS7" s="166"/>
      <c r="AT7" s="166"/>
      <c r="AU7" s="166"/>
      <c r="AV7" s="324"/>
      <c r="AW7" s="265"/>
    </row>
    <row r="8" spans="1:49" ht="35.25" customHeight="1">
      <c r="A8" s="1">
        <v>60</v>
      </c>
      <c r="B8" s="229">
        <v>4</v>
      </c>
      <c r="C8" s="154" t="s">
        <v>6</v>
      </c>
      <c r="D8" s="155" t="s">
        <v>7</v>
      </c>
      <c r="E8" s="3" t="s">
        <v>742</v>
      </c>
      <c r="F8" s="4" t="s">
        <v>667</v>
      </c>
      <c r="G8" s="4"/>
      <c r="H8" s="223">
        <v>45000000</v>
      </c>
      <c r="I8" s="138">
        <v>2</v>
      </c>
      <c r="J8" s="186">
        <v>0.1</v>
      </c>
      <c r="K8" s="138"/>
      <c r="L8" s="187"/>
      <c r="M8" s="158">
        <v>7.0000000000000044</v>
      </c>
      <c r="N8" s="159">
        <v>8.0000000000000053</v>
      </c>
      <c r="O8" s="159">
        <v>4.0000000000000027</v>
      </c>
      <c r="P8" s="159">
        <v>6.0000000000000036</v>
      </c>
      <c r="Q8" s="159">
        <v>1</v>
      </c>
      <c r="R8" s="159">
        <v>8</v>
      </c>
      <c r="S8" s="159">
        <v>5</v>
      </c>
      <c r="T8" s="160">
        <v>8.0000000000000053</v>
      </c>
      <c r="U8" s="240" t="e">
        <f t="shared" ca="1" si="0"/>
        <v>#DIV/0!</v>
      </c>
      <c r="V8" s="240">
        <f t="shared" ca="1" si="1"/>
        <v>0.1</v>
      </c>
      <c r="W8" s="241">
        <f t="shared" si="2"/>
        <v>1.1052631578947376</v>
      </c>
      <c r="X8" s="241">
        <f t="shared" ref="X8:X54" si="13">N8*Weight2/(WSum)</f>
        <v>0.84210526315789525</v>
      </c>
      <c r="Y8" s="241">
        <f t="shared" ref="Y8:Y54" si="14">O8*Weight3/(WSum)</f>
        <v>0.56140350877193024</v>
      </c>
      <c r="Z8" s="241">
        <f t="shared" si="3"/>
        <v>1.052631578947369</v>
      </c>
      <c r="AA8" s="241">
        <f t="shared" ref="AA8:AA54" si="15">Q8*Weight5/(WSum)</f>
        <v>8.771929824561403E-2</v>
      </c>
      <c r="AB8" s="241">
        <f t="shared" si="4"/>
        <v>0.98245614035087714</v>
      </c>
      <c r="AC8" s="241">
        <f t="shared" si="5"/>
        <v>0.52631578947368418</v>
      </c>
      <c r="AD8" s="242">
        <f t="shared" ref="AD8:AD54" si="16">T8*Weight8/(WSum)</f>
        <v>0.84210526315789525</v>
      </c>
      <c r="AE8" s="243">
        <f t="shared" si="6"/>
        <v>0.8</v>
      </c>
      <c r="AF8" s="243">
        <f t="shared" ca="1" si="7"/>
        <v>0.9</v>
      </c>
      <c r="AG8" s="202">
        <f t="shared" ca="1" si="8"/>
        <v>0.83333333333333337</v>
      </c>
      <c r="AH8" s="244">
        <f t="shared" si="9"/>
        <v>6.0000000000000027</v>
      </c>
      <c r="AI8" s="184">
        <f t="shared" ca="1" si="10"/>
        <v>50.000000000000028</v>
      </c>
      <c r="AJ8" s="179" t="str">
        <f t="shared" ca="1" si="11"/>
        <v>Q2</v>
      </c>
      <c r="AK8" s="86" t="s">
        <v>378</v>
      </c>
      <c r="AL8" s="270" t="s">
        <v>416</v>
      </c>
      <c r="AM8" s="269">
        <v>1000000</v>
      </c>
      <c r="AN8" s="103">
        <v>2500000</v>
      </c>
      <c r="AO8" s="103">
        <v>25000000</v>
      </c>
      <c r="AP8" s="108">
        <v>16500000</v>
      </c>
      <c r="AQ8" s="299" t="s">
        <v>416</v>
      </c>
      <c r="AR8" s="327">
        <f t="shared" si="12"/>
        <v>1000000</v>
      </c>
      <c r="AS8" s="166">
        <f>AN8*(1+Efactor)</f>
        <v>2587500</v>
      </c>
      <c r="AT8" s="166">
        <f>AO8*(1+Efactor)^2</f>
        <v>26780624.999999996</v>
      </c>
      <c r="AU8" s="166">
        <f>AP8*(1+Efactor)^3</f>
        <v>18293844.937499996</v>
      </c>
      <c r="AV8" s="324"/>
    </row>
    <row r="9" spans="1:49" ht="37.5" customHeight="1">
      <c r="A9" s="5">
        <v>72</v>
      </c>
      <c r="B9" s="229">
        <v>5</v>
      </c>
      <c r="C9" s="14" t="s">
        <v>8</v>
      </c>
      <c r="D9" s="168" t="s">
        <v>7</v>
      </c>
      <c r="E9" s="7" t="s">
        <v>744</v>
      </c>
      <c r="F9" s="8" t="s">
        <v>703</v>
      </c>
      <c r="G9" s="8"/>
      <c r="H9" s="213">
        <v>3000000</v>
      </c>
      <c r="I9" s="50">
        <v>3</v>
      </c>
      <c r="J9" s="56">
        <v>0.2</v>
      </c>
      <c r="K9" s="50"/>
      <c r="L9" s="57"/>
      <c r="M9" s="62">
        <v>6</v>
      </c>
      <c r="N9" s="63">
        <v>8</v>
      </c>
      <c r="O9" s="63">
        <v>8</v>
      </c>
      <c r="P9" s="63">
        <v>4.0000000000000027</v>
      </c>
      <c r="Q9" s="63">
        <v>0</v>
      </c>
      <c r="R9" s="63">
        <v>8.0000000000000053</v>
      </c>
      <c r="S9" s="63">
        <v>10</v>
      </c>
      <c r="T9" s="64">
        <v>9.9999999999999982</v>
      </c>
      <c r="U9" s="67" t="e">
        <f t="shared" ca="1" si="0"/>
        <v>#DIV/0!</v>
      </c>
      <c r="V9" s="67">
        <f t="shared" ca="1" si="1"/>
        <v>0.2</v>
      </c>
      <c r="W9" s="69">
        <f t="shared" si="2"/>
        <v>0.94736842105263153</v>
      </c>
      <c r="X9" s="69">
        <f t="shared" si="13"/>
        <v>0.84210526315789469</v>
      </c>
      <c r="Y9" s="69">
        <f t="shared" si="14"/>
        <v>1.1228070175438596</v>
      </c>
      <c r="Z9" s="69">
        <f t="shared" si="3"/>
        <v>0.7017543859649128</v>
      </c>
      <c r="AA9" s="69">
        <f t="shared" si="15"/>
        <v>0</v>
      </c>
      <c r="AB9" s="69">
        <f t="shared" si="4"/>
        <v>0.9824561403508778</v>
      </c>
      <c r="AC9" s="69">
        <f t="shared" si="5"/>
        <v>1.0526315789473684</v>
      </c>
      <c r="AD9" s="70">
        <f t="shared" si="16"/>
        <v>1.0526315789473681</v>
      </c>
      <c r="AE9" s="71">
        <f t="shared" si="6"/>
        <v>0.7</v>
      </c>
      <c r="AF9" s="71">
        <f t="shared" ca="1" si="7"/>
        <v>0.8</v>
      </c>
      <c r="AG9" s="72">
        <f t="shared" ca="1" si="8"/>
        <v>0.73333333333333339</v>
      </c>
      <c r="AH9" s="177">
        <f t="shared" si="9"/>
        <v>6.7017543859649127</v>
      </c>
      <c r="AI9" s="185">
        <f t="shared" ca="1" si="10"/>
        <v>49.146198830409361</v>
      </c>
      <c r="AJ9" s="179" t="str">
        <f t="shared" ca="1" si="11"/>
        <v>Q3</v>
      </c>
      <c r="AK9" s="88" t="s">
        <v>381</v>
      </c>
      <c r="AL9" s="256">
        <v>500000</v>
      </c>
      <c r="AM9" s="103">
        <v>500000</v>
      </c>
      <c r="AN9" s="103">
        <v>500000</v>
      </c>
      <c r="AO9" s="103">
        <v>500000</v>
      </c>
      <c r="AP9" s="108">
        <v>500000</v>
      </c>
      <c r="AQ9" s="299">
        <v>500000</v>
      </c>
      <c r="AR9" s="327">
        <f t="shared" si="12"/>
        <v>500000</v>
      </c>
      <c r="AS9" s="166">
        <f>AN9*(1+Efactor)</f>
        <v>517499.99999999994</v>
      </c>
      <c r="AT9" s="166">
        <f>AO9*(1+Efactor)^2</f>
        <v>535612.49999999988</v>
      </c>
      <c r="AU9" s="166">
        <f>AP9*(1+Efactor)^3</f>
        <v>554358.93749999988</v>
      </c>
      <c r="AV9" s="326">
        <f>AQ9*(1+Efactor)^4</f>
        <v>573761.50031249982</v>
      </c>
      <c r="AW9" s="89"/>
    </row>
    <row r="10" spans="1:49" ht="36" customHeight="1">
      <c r="A10" s="5"/>
      <c r="B10" s="229">
        <v>6</v>
      </c>
      <c r="C10" s="6" t="s">
        <v>6</v>
      </c>
      <c r="D10" s="133" t="s">
        <v>7</v>
      </c>
      <c r="E10" s="7" t="s">
        <v>743</v>
      </c>
      <c r="F10" s="8" t="s">
        <v>668</v>
      </c>
      <c r="G10" s="8"/>
      <c r="H10" s="213">
        <v>40000000</v>
      </c>
      <c r="I10" s="50">
        <v>3</v>
      </c>
      <c r="J10" s="56">
        <v>0</v>
      </c>
      <c r="K10" s="50"/>
      <c r="L10" s="57"/>
      <c r="M10" s="62">
        <v>8</v>
      </c>
      <c r="N10" s="63">
        <v>10</v>
      </c>
      <c r="O10" s="63">
        <v>4</v>
      </c>
      <c r="P10" s="63">
        <v>4</v>
      </c>
      <c r="Q10" s="63">
        <v>0</v>
      </c>
      <c r="R10" s="63">
        <v>10</v>
      </c>
      <c r="S10" s="63">
        <v>2</v>
      </c>
      <c r="T10" s="64">
        <v>10</v>
      </c>
      <c r="U10" s="67" t="e">
        <f t="shared" ca="1" si="0"/>
        <v>#DIV/0!</v>
      </c>
      <c r="V10" s="67">
        <f t="shared" ca="1" si="1"/>
        <v>0</v>
      </c>
      <c r="W10" s="69">
        <f t="shared" si="2"/>
        <v>1.263157894736842</v>
      </c>
      <c r="X10" s="69">
        <f t="shared" si="13"/>
        <v>1.0526315789473684</v>
      </c>
      <c r="Y10" s="69">
        <f t="shared" si="14"/>
        <v>0.56140350877192979</v>
      </c>
      <c r="Z10" s="69">
        <f t="shared" si="3"/>
        <v>0.70175438596491224</v>
      </c>
      <c r="AA10" s="69">
        <f t="shared" si="15"/>
        <v>0</v>
      </c>
      <c r="AB10" s="69">
        <f t="shared" si="4"/>
        <v>1.2280701754385965</v>
      </c>
      <c r="AC10" s="69">
        <f t="shared" si="5"/>
        <v>0.21052631578947367</v>
      </c>
      <c r="AD10" s="70">
        <f t="shared" si="16"/>
        <v>1.0526315789473684</v>
      </c>
      <c r="AE10" s="71">
        <f t="shared" si="6"/>
        <v>0.7</v>
      </c>
      <c r="AF10" s="71">
        <f t="shared" ca="1" si="7"/>
        <v>1</v>
      </c>
      <c r="AG10" s="72">
        <f t="shared" ca="1" si="8"/>
        <v>0.79999999999999993</v>
      </c>
      <c r="AH10" s="177">
        <f t="shared" si="9"/>
        <v>6.0701754385964906</v>
      </c>
      <c r="AI10" s="185">
        <f t="shared" ca="1" si="10"/>
        <v>48.561403508771917</v>
      </c>
      <c r="AJ10" s="179" t="str">
        <f t="shared" ca="1" si="11"/>
        <v>Q1</v>
      </c>
      <c r="AK10" s="88" t="s">
        <v>378</v>
      </c>
      <c r="AL10" s="270">
        <v>1000000</v>
      </c>
      <c r="AM10" s="269">
        <v>5000000</v>
      </c>
      <c r="AN10" s="108">
        <v>25000000</v>
      </c>
      <c r="AO10" s="103">
        <v>9000000</v>
      </c>
      <c r="AP10" s="108" t="s">
        <v>416</v>
      </c>
      <c r="AQ10" s="299" t="s">
        <v>416</v>
      </c>
      <c r="AR10" s="327">
        <f t="shared" si="12"/>
        <v>5000000</v>
      </c>
      <c r="AS10" s="166">
        <f>AN10*(1+Efactor)</f>
        <v>25874999.999999996</v>
      </c>
      <c r="AT10" s="166">
        <f>AO10*(1+Efactor)^2</f>
        <v>9641024.9999999981</v>
      </c>
      <c r="AU10" s="123"/>
      <c r="AV10" s="324"/>
      <c r="AW10" s="89"/>
    </row>
    <row r="11" spans="1:49" ht="36" customHeight="1">
      <c r="A11" s="5"/>
      <c r="B11" s="229">
        <v>7</v>
      </c>
      <c r="C11" s="6" t="s">
        <v>17</v>
      </c>
      <c r="D11" s="133" t="s">
        <v>19</v>
      </c>
      <c r="E11" s="26" t="s">
        <v>498</v>
      </c>
      <c r="F11" s="27" t="s">
        <v>502</v>
      </c>
      <c r="G11" s="113"/>
      <c r="H11" s="213">
        <v>3861585</v>
      </c>
      <c r="I11" s="51">
        <v>3</v>
      </c>
      <c r="J11" s="56">
        <v>0.3</v>
      </c>
      <c r="K11" s="50"/>
      <c r="L11" s="57"/>
      <c r="M11" s="62">
        <v>8</v>
      </c>
      <c r="N11" s="63">
        <v>8</v>
      </c>
      <c r="O11" s="63">
        <v>8</v>
      </c>
      <c r="P11" s="63">
        <v>8</v>
      </c>
      <c r="Q11" s="63">
        <v>4</v>
      </c>
      <c r="R11" s="63">
        <v>8</v>
      </c>
      <c r="S11" s="63">
        <v>0</v>
      </c>
      <c r="T11" s="64">
        <v>9</v>
      </c>
      <c r="U11" s="67" t="e">
        <f t="shared" ca="1" si="0"/>
        <v>#DIV/0!</v>
      </c>
      <c r="V11" s="67">
        <f t="shared" ca="1" si="1"/>
        <v>0.3</v>
      </c>
      <c r="W11" s="69">
        <f t="shared" si="2"/>
        <v>1.263157894736842</v>
      </c>
      <c r="X11" s="69">
        <f t="shared" si="13"/>
        <v>0.84210526315789469</v>
      </c>
      <c r="Y11" s="69">
        <f t="shared" si="14"/>
        <v>1.1228070175438596</v>
      </c>
      <c r="Z11" s="69">
        <f t="shared" si="3"/>
        <v>1.4035087719298245</v>
      </c>
      <c r="AA11" s="69">
        <f t="shared" si="15"/>
        <v>0.35087719298245612</v>
      </c>
      <c r="AB11" s="69">
        <f t="shared" si="4"/>
        <v>0.98245614035087714</v>
      </c>
      <c r="AC11" s="69">
        <f t="shared" si="5"/>
        <v>0</v>
      </c>
      <c r="AD11" s="70">
        <f t="shared" si="16"/>
        <v>0.94736842105263153</v>
      </c>
      <c r="AE11" s="71">
        <f t="shared" si="6"/>
        <v>0.7</v>
      </c>
      <c r="AF11" s="71">
        <f t="shared" ca="1" si="7"/>
        <v>0.7</v>
      </c>
      <c r="AG11" s="72">
        <f t="shared" ca="1" si="8"/>
        <v>0.69999999999999984</v>
      </c>
      <c r="AH11" s="177">
        <f t="shared" si="9"/>
        <v>6.912280701754387</v>
      </c>
      <c r="AI11" s="185">
        <f t="shared" ca="1" si="10"/>
        <v>48.385964912280699</v>
      </c>
      <c r="AJ11" s="179" t="str">
        <f t="shared" ca="1" si="11"/>
        <v>Q3</v>
      </c>
      <c r="AK11" s="90" t="s">
        <v>342</v>
      </c>
      <c r="AL11" s="270">
        <v>523710</v>
      </c>
      <c r="AM11" s="268">
        <v>3337875</v>
      </c>
      <c r="AN11" s="108" t="s">
        <v>416</v>
      </c>
      <c r="AO11" s="107"/>
      <c r="AP11" s="108" t="s">
        <v>416</v>
      </c>
      <c r="AQ11" s="299"/>
      <c r="AR11" s="327">
        <f t="shared" si="12"/>
        <v>3337875</v>
      </c>
      <c r="AS11" s="166"/>
      <c r="AT11" s="166"/>
      <c r="AU11" s="166"/>
      <c r="AV11" s="324"/>
      <c r="AW11" s="89"/>
    </row>
    <row r="12" spans="1:49" s="124" customFormat="1" ht="36" customHeight="1">
      <c r="A12" s="5"/>
      <c r="B12" s="229">
        <v>8</v>
      </c>
      <c r="C12" s="6" t="s">
        <v>14</v>
      </c>
      <c r="D12" s="133" t="s">
        <v>15</v>
      </c>
      <c r="E12" s="26" t="s">
        <v>433</v>
      </c>
      <c r="F12" s="27" t="s">
        <v>510</v>
      </c>
      <c r="G12" s="115"/>
      <c r="H12" s="215">
        <v>4356315</v>
      </c>
      <c r="I12" s="51">
        <v>2</v>
      </c>
      <c r="J12" s="56">
        <v>0.3</v>
      </c>
      <c r="K12" s="50"/>
      <c r="L12" s="57"/>
      <c r="M12" s="62">
        <v>6.0000000000000036</v>
      </c>
      <c r="N12" s="63">
        <v>6.0000000000000036</v>
      </c>
      <c r="O12" s="63">
        <v>8.0000000000000053</v>
      </c>
      <c r="P12" s="63">
        <v>8.0000000000000053</v>
      </c>
      <c r="Q12" s="63">
        <v>7</v>
      </c>
      <c r="R12" s="63">
        <v>6.0000000000000036</v>
      </c>
      <c r="S12" s="63">
        <v>0</v>
      </c>
      <c r="T12" s="64">
        <v>8</v>
      </c>
      <c r="U12" s="67" t="e">
        <f t="shared" ca="1" si="0"/>
        <v>#DIV/0!</v>
      </c>
      <c r="V12" s="67">
        <f t="shared" ca="1" si="1"/>
        <v>0.3</v>
      </c>
      <c r="W12" s="69">
        <f t="shared" si="2"/>
        <v>0.94736842105263208</v>
      </c>
      <c r="X12" s="69">
        <f t="shared" si="13"/>
        <v>0.63157894736842146</v>
      </c>
      <c r="Y12" s="69">
        <f t="shared" si="14"/>
        <v>1.1228070175438605</v>
      </c>
      <c r="Z12" s="69">
        <f t="shared" si="3"/>
        <v>1.4035087719298256</v>
      </c>
      <c r="AA12" s="69">
        <f t="shared" si="15"/>
        <v>0.61403508771929827</v>
      </c>
      <c r="AB12" s="69">
        <f t="shared" si="4"/>
        <v>0.73684210526315841</v>
      </c>
      <c r="AC12" s="69">
        <f t="shared" si="5"/>
        <v>0</v>
      </c>
      <c r="AD12" s="70">
        <f t="shared" si="16"/>
        <v>0.84210526315789469</v>
      </c>
      <c r="AE12" s="71">
        <f t="shared" si="6"/>
        <v>0.8</v>
      </c>
      <c r="AF12" s="71">
        <f t="shared" ca="1" si="7"/>
        <v>0.7</v>
      </c>
      <c r="AG12" s="72">
        <f t="shared" ca="1" si="8"/>
        <v>0.76666666666666661</v>
      </c>
      <c r="AH12" s="177">
        <f t="shared" si="9"/>
        <v>6.2982456140350909</v>
      </c>
      <c r="AI12" s="185">
        <f t="shared" ca="1" si="10"/>
        <v>48.286549707602362</v>
      </c>
      <c r="AJ12" s="179" t="str">
        <f t="shared" ca="1" si="11"/>
        <v>Q1</v>
      </c>
      <c r="AK12" s="90" t="s">
        <v>342</v>
      </c>
      <c r="AL12" s="101"/>
      <c r="AM12" s="268">
        <v>4356315</v>
      </c>
      <c r="AN12" s="103"/>
      <c r="AO12" s="103"/>
      <c r="AP12" s="108" t="s">
        <v>416</v>
      </c>
      <c r="AQ12" s="299"/>
      <c r="AR12" s="327">
        <f t="shared" si="12"/>
        <v>4356315</v>
      </c>
      <c r="AS12" s="166"/>
      <c r="AT12" s="166"/>
      <c r="AU12" s="166"/>
      <c r="AV12" s="324"/>
      <c r="AW12" s="89"/>
    </row>
    <row r="13" spans="1:49" ht="36" customHeight="1">
      <c r="A13" s="1">
        <v>70</v>
      </c>
      <c r="B13" s="229">
        <v>9</v>
      </c>
      <c r="C13" s="2" t="s">
        <v>26</v>
      </c>
      <c r="D13" s="132" t="s">
        <v>7</v>
      </c>
      <c r="E13" s="136" t="s">
        <v>40</v>
      </c>
      <c r="F13" s="137" t="s">
        <v>462</v>
      </c>
      <c r="G13" s="137"/>
      <c r="H13" s="214">
        <v>1100000</v>
      </c>
      <c r="I13" s="142">
        <v>3</v>
      </c>
      <c r="J13" s="139">
        <v>0.1</v>
      </c>
      <c r="K13" s="138"/>
      <c r="L13" s="140"/>
      <c r="M13" s="62">
        <v>8.0000000000000053</v>
      </c>
      <c r="N13" s="63">
        <v>8.0000000000000053</v>
      </c>
      <c r="O13" s="63">
        <v>6</v>
      </c>
      <c r="P13" s="63">
        <v>4.0000000000000027</v>
      </c>
      <c r="Q13" s="63">
        <v>2</v>
      </c>
      <c r="R13" s="63">
        <v>8.0000000000000053</v>
      </c>
      <c r="S13" s="63">
        <v>6</v>
      </c>
      <c r="T13" s="64">
        <v>8.0000000000000053</v>
      </c>
      <c r="U13" s="141" t="e">
        <f t="shared" ca="1" si="0"/>
        <v>#DIV/0!</v>
      </c>
      <c r="V13" s="141">
        <f t="shared" ca="1" si="1"/>
        <v>0.1</v>
      </c>
      <c r="W13" s="69">
        <f t="shared" si="2"/>
        <v>1.2631578947368429</v>
      </c>
      <c r="X13" s="69">
        <f t="shared" si="13"/>
        <v>0.84210526315789525</v>
      </c>
      <c r="Y13" s="69">
        <f t="shared" si="14"/>
        <v>0.84210526315789469</v>
      </c>
      <c r="Z13" s="69">
        <f t="shared" si="3"/>
        <v>0.7017543859649128</v>
      </c>
      <c r="AA13" s="69">
        <f t="shared" si="15"/>
        <v>0.17543859649122806</v>
      </c>
      <c r="AB13" s="69">
        <f t="shared" si="4"/>
        <v>0.9824561403508778</v>
      </c>
      <c r="AC13" s="69">
        <f t="shared" si="5"/>
        <v>0.63157894736842102</v>
      </c>
      <c r="AD13" s="70">
        <f t="shared" si="16"/>
        <v>0.84210526315789525</v>
      </c>
      <c r="AE13" s="71">
        <f t="shared" si="6"/>
        <v>0.7</v>
      </c>
      <c r="AF13" s="71">
        <f t="shared" ca="1" si="7"/>
        <v>0.9</v>
      </c>
      <c r="AG13" s="72">
        <f t="shared" ca="1" si="8"/>
        <v>0.76666666666666661</v>
      </c>
      <c r="AH13" s="176">
        <f t="shared" si="9"/>
        <v>6.2807017543859684</v>
      </c>
      <c r="AI13" s="184">
        <f t="shared" ca="1" si="10"/>
        <v>48.152046783625757</v>
      </c>
      <c r="AJ13" s="179" t="str">
        <f t="shared" ca="1" si="11"/>
        <v>Q1</v>
      </c>
      <c r="AK13" s="135" t="s">
        <v>329</v>
      </c>
      <c r="AL13" s="195"/>
      <c r="AM13" s="103">
        <v>500000</v>
      </c>
      <c r="AN13" s="103">
        <v>300000</v>
      </c>
      <c r="AO13" s="103">
        <v>300000</v>
      </c>
      <c r="AP13" s="108" t="s">
        <v>416</v>
      </c>
      <c r="AQ13" s="299"/>
      <c r="AR13" s="327">
        <f t="shared" si="12"/>
        <v>500000</v>
      </c>
      <c r="AS13" s="166">
        <f>AN13*(1+Efactor)</f>
        <v>310500</v>
      </c>
      <c r="AT13" s="166">
        <f>AO13*(1+Efactor)^2</f>
        <v>321367.49999999994</v>
      </c>
      <c r="AU13" s="166"/>
      <c r="AV13" s="324"/>
      <c r="AW13" s="190"/>
    </row>
    <row r="14" spans="1:49" ht="36" customHeight="1">
      <c r="A14" s="5">
        <v>74</v>
      </c>
      <c r="B14" s="229">
        <v>10</v>
      </c>
      <c r="C14" s="6" t="s">
        <v>42</v>
      </c>
      <c r="D14" s="133" t="s">
        <v>7</v>
      </c>
      <c r="E14" s="7" t="s">
        <v>43</v>
      </c>
      <c r="F14" s="8" t="s">
        <v>464</v>
      </c>
      <c r="G14" s="8" t="s">
        <v>44</v>
      </c>
      <c r="H14" s="213">
        <v>300000</v>
      </c>
      <c r="I14" s="50">
        <v>1</v>
      </c>
      <c r="J14" s="156">
        <v>0.1</v>
      </c>
      <c r="K14" s="50"/>
      <c r="L14" s="157"/>
      <c r="M14" s="158">
        <v>8.0000000000000053</v>
      </c>
      <c r="N14" s="159">
        <v>4.0000000000000027</v>
      </c>
      <c r="O14" s="159">
        <v>6.0000000000000036</v>
      </c>
      <c r="P14" s="159">
        <v>6.0000000000000036</v>
      </c>
      <c r="Q14" s="159">
        <v>0</v>
      </c>
      <c r="R14" s="159">
        <v>4.0000000000000027</v>
      </c>
      <c r="S14" s="159">
        <v>4</v>
      </c>
      <c r="T14" s="160">
        <v>8.0000000000000053</v>
      </c>
      <c r="U14" s="245" t="e">
        <f t="shared" ca="1" si="0"/>
        <v>#DIV/0!</v>
      </c>
      <c r="V14" s="245">
        <f t="shared" ca="1" si="1"/>
        <v>0.1</v>
      </c>
      <c r="W14" s="241">
        <f t="shared" si="2"/>
        <v>1.2631578947368429</v>
      </c>
      <c r="X14" s="241">
        <f t="shared" si="13"/>
        <v>0.42105263157894762</v>
      </c>
      <c r="Y14" s="241">
        <f t="shared" si="14"/>
        <v>0.84210526315789525</v>
      </c>
      <c r="Z14" s="241">
        <f t="shared" si="3"/>
        <v>1.052631578947369</v>
      </c>
      <c r="AA14" s="241">
        <f t="shared" si="15"/>
        <v>0</v>
      </c>
      <c r="AB14" s="241">
        <f t="shared" si="4"/>
        <v>0.4912280701754389</v>
      </c>
      <c r="AC14" s="241">
        <f t="shared" si="5"/>
        <v>0.42105263157894735</v>
      </c>
      <c r="AD14" s="242">
        <f t="shared" si="16"/>
        <v>0.84210526315789525</v>
      </c>
      <c r="AE14" s="243">
        <f t="shared" si="6"/>
        <v>0.9</v>
      </c>
      <c r="AF14" s="243">
        <f t="shared" ca="1" si="7"/>
        <v>0.9</v>
      </c>
      <c r="AG14" s="202">
        <f t="shared" ca="1" si="8"/>
        <v>0.9</v>
      </c>
      <c r="AH14" s="246">
        <f t="shared" si="9"/>
        <v>5.3333333333333375</v>
      </c>
      <c r="AI14" s="185">
        <f t="shared" ca="1" si="10"/>
        <v>48.000000000000043</v>
      </c>
      <c r="AJ14" s="179" t="str">
        <f t="shared" ca="1" si="11"/>
        <v>Q2</v>
      </c>
      <c r="AK14" s="88" t="s">
        <v>329</v>
      </c>
      <c r="AL14" s="193"/>
      <c r="AM14" s="103">
        <v>300000</v>
      </c>
      <c r="AN14" s="103" t="s">
        <v>416</v>
      </c>
      <c r="AO14" s="103"/>
      <c r="AP14" s="108"/>
      <c r="AQ14" s="299"/>
      <c r="AR14" s="327">
        <f t="shared" si="12"/>
        <v>300000</v>
      </c>
      <c r="AS14" s="166"/>
      <c r="AT14" s="166"/>
      <c r="AU14" s="166"/>
      <c r="AV14" s="324"/>
      <c r="AW14" s="89"/>
    </row>
    <row r="15" spans="1:49" ht="37.5" customHeight="1">
      <c r="A15" s="5"/>
      <c r="B15" s="229">
        <v>11</v>
      </c>
      <c r="C15" s="14" t="s">
        <v>20</v>
      </c>
      <c r="D15" s="168" t="s">
        <v>384</v>
      </c>
      <c r="E15" s="15" t="s">
        <v>522</v>
      </c>
      <c r="F15" s="30" t="s">
        <v>540</v>
      </c>
      <c r="G15" s="8"/>
      <c r="H15" s="218">
        <v>3032150</v>
      </c>
      <c r="I15" s="50">
        <v>2</v>
      </c>
      <c r="J15" s="56">
        <v>0.2</v>
      </c>
      <c r="K15" s="50"/>
      <c r="L15" s="57"/>
      <c r="M15" s="62">
        <v>8</v>
      </c>
      <c r="N15" s="63">
        <v>8</v>
      </c>
      <c r="O15" s="63">
        <v>2</v>
      </c>
      <c r="P15" s="63">
        <v>6.0000000000000036</v>
      </c>
      <c r="Q15" s="63">
        <v>4</v>
      </c>
      <c r="R15" s="63">
        <v>9</v>
      </c>
      <c r="S15" s="63">
        <v>0</v>
      </c>
      <c r="T15" s="64">
        <v>10</v>
      </c>
      <c r="U15" s="67" t="e">
        <f t="shared" ca="1" si="0"/>
        <v>#DIV/0!</v>
      </c>
      <c r="V15" s="67">
        <f t="shared" ca="1" si="1"/>
        <v>0.2</v>
      </c>
      <c r="W15" s="69">
        <f t="shared" si="2"/>
        <v>1.263157894736842</v>
      </c>
      <c r="X15" s="69">
        <f t="shared" si="13"/>
        <v>0.84210526315789469</v>
      </c>
      <c r="Y15" s="69">
        <f t="shared" si="14"/>
        <v>0.2807017543859649</v>
      </c>
      <c r="Z15" s="69">
        <f t="shared" si="3"/>
        <v>1.052631578947369</v>
      </c>
      <c r="AA15" s="69">
        <f t="shared" si="15"/>
        <v>0.35087719298245612</v>
      </c>
      <c r="AB15" s="69">
        <f t="shared" si="4"/>
        <v>1.1052631578947369</v>
      </c>
      <c r="AC15" s="69">
        <f t="shared" si="5"/>
        <v>0</v>
      </c>
      <c r="AD15" s="70">
        <f t="shared" si="16"/>
        <v>1.0526315789473684</v>
      </c>
      <c r="AE15" s="71">
        <f t="shared" si="6"/>
        <v>0.8</v>
      </c>
      <c r="AF15" s="71">
        <f t="shared" ca="1" si="7"/>
        <v>0.8</v>
      </c>
      <c r="AG15" s="72">
        <f t="shared" ca="1" si="8"/>
        <v>0.80000000000000016</v>
      </c>
      <c r="AH15" s="177">
        <f t="shared" si="9"/>
        <v>5.9473684210526319</v>
      </c>
      <c r="AI15" s="185">
        <f t="shared" ca="1" si="10"/>
        <v>47.578947368421069</v>
      </c>
      <c r="AJ15" s="179" t="str">
        <f t="shared" ca="1" si="11"/>
        <v>Q2</v>
      </c>
      <c r="AK15" s="90" t="s">
        <v>430</v>
      </c>
      <c r="AL15" s="192"/>
      <c r="AM15" s="170">
        <v>3032150</v>
      </c>
      <c r="AN15" s="98"/>
      <c r="AO15" s="98"/>
      <c r="AP15" s="188"/>
      <c r="AQ15" s="298"/>
      <c r="AR15" s="327">
        <f t="shared" si="12"/>
        <v>3032150</v>
      </c>
      <c r="AS15" s="166"/>
      <c r="AT15" s="166"/>
      <c r="AU15" s="166"/>
      <c r="AV15" s="324"/>
      <c r="AW15" s="89"/>
    </row>
    <row r="16" spans="1:49" ht="36" customHeight="1">
      <c r="A16" s="5"/>
      <c r="B16" s="229">
        <v>12</v>
      </c>
      <c r="C16" s="6" t="s">
        <v>17</v>
      </c>
      <c r="D16" s="133" t="s">
        <v>19</v>
      </c>
      <c r="E16" s="26" t="s">
        <v>499</v>
      </c>
      <c r="F16" s="27" t="s">
        <v>503</v>
      </c>
      <c r="G16" s="113"/>
      <c r="H16" s="213">
        <v>6510150</v>
      </c>
      <c r="I16" s="51">
        <v>4</v>
      </c>
      <c r="J16" s="56">
        <v>0.2</v>
      </c>
      <c r="K16" s="50"/>
      <c r="L16" s="57"/>
      <c r="M16" s="62">
        <v>8</v>
      </c>
      <c r="N16" s="63">
        <v>8</v>
      </c>
      <c r="O16" s="63">
        <v>8</v>
      </c>
      <c r="P16" s="63">
        <v>8</v>
      </c>
      <c r="Q16" s="63">
        <v>6</v>
      </c>
      <c r="R16" s="63">
        <v>8</v>
      </c>
      <c r="S16" s="63">
        <v>0</v>
      </c>
      <c r="T16" s="64">
        <v>9</v>
      </c>
      <c r="U16" s="67" t="e">
        <f t="shared" ca="1" si="0"/>
        <v>#DIV/0!</v>
      </c>
      <c r="V16" s="67">
        <f t="shared" ca="1" si="1"/>
        <v>0.2</v>
      </c>
      <c r="W16" s="69">
        <f t="shared" si="2"/>
        <v>1.263157894736842</v>
      </c>
      <c r="X16" s="69">
        <f t="shared" si="13"/>
        <v>0.84210526315789469</v>
      </c>
      <c r="Y16" s="69">
        <f t="shared" si="14"/>
        <v>1.1228070175438596</v>
      </c>
      <c r="Z16" s="69">
        <f t="shared" si="3"/>
        <v>1.4035087719298245</v>
      </c>
      <c r="AA16" s="69">
        <f t="shared" si="15"/>
        <v>0.52631578947368418</v>
      </c>
      <c r="AB16" s="69">
        <f t="shared" si="4"/>
        <v>0.98245614035087714</v>
      </c>
      <c r="AC16" s="69">
        <f t="shared" si="5"/>
        <v>0</v>
      </c>
      <c r="AD16" s="70">
        <f t="shared" si="16"/>
        <v>0.94736842105263153</v>
      </c>
      <c r="AE16" s="71">
        <f t="shared" si="6"/>
        <v>0.6</v>
      </c>
      <c r="AF16" s="71">
        <f t="shared" ca="1" si="7"/>
        <v>0.8</v>
      </c>
      <c r="AG16" s="72">
        <f t="shared" ca="1" si="8"/>
        <v>0.66666666666666663</v>
      </c>
      <c r="AH16" s="177">
        <f t="shared" si="9"/>
        <v>7.0877192982456148</v>
      </c>
      <c r="AI16" s="185">
        <f t="shared" ca="1" si="10"/>
        <v>47.251461988304094</v>
      </c>
      <c r="AJ16" s="179" t="str">
        <f t="shared" ca="1" si="11"/>
        <v>Q3</v>
      </c>
      <c r="AK16" s="90" t="s">
        <v>342</v>
      </c>
      <c r="AL16" s="254"/>
      <c r="AM16" s="103">
        <v>1257525</v>
      </c>
      <c r="AN16" s="103">
        <v>5252625</v>
      </c>
      <c r="AO16" s="103" t="s">
        <v>416</v>
      </c>
      <c r="AP16" s="108"/>
      <c r="AQ16" s="299"/>
      <c r="AR16" s="327">
        <f t="shared" si="12"/>
        <v>1257525</v>
      </c>
      <c r="AS16" s="166">
        <f>AN16*(1+Efactor)</f>
        <v>5436466.875</v>
      </c>
      <c r="AT16" s="166"/>
      <c r="AU16" s="166"/>
      <c r="AV16" s="324"/>
      <c r="AW16" s="89"/>
    </row>
    <row r="17" spans="1:49" ht="36" customHeight="1">
      <c r="A17" s="5">
        <v>43</v>
      </c>
      <c r="B17" s="229">
        <v>13</v>
      </c>
      <c r="C17" s="6" t="s">
        <v>6</v>
      </c>
      <c r="D17" s="133" t="s">
        <v>7</v>
      </c>
      <c r="E17" s="7" t="s">
        <v>402</v>
      </c>
      <c r="F17" s="17" t="s">
        <v>465</v>
      </c>
      <c r="G17" s="8"/>
      <c r="H17" s="213">
        <v>150000</v>
      </c>
      <c r="I17" s="50">
        <v>3</v>
      </c>
      <c r="J17" s="56">
        <v>0.1</v>
      </c>
      <c r="K17" s="50"/>
      <c r="L17" s="57"/>
      <c r="M17" s="62">
        <v>6</v>
      </c>
      <c r="N17" s="63">
        <v>8.0000000000000053</v>
      </c>
      <c r="O17" s="63">
        <v>4.0000000000000027</v>
      </c>
      <c r="P17" s="63">
        <v>8</v>
      </c>
      <c r="Q17" s="63">
        <v>4.0000000000000027</v>
      </c>
      <c r="R17" s="63">
        <v>8.0000000000000053</v>
      </c>
      <c r="S17" s="63">
        <v>2</v>
      </c>
      <c r="T17" s="64">
        <v>8.0000000000000053</v>
      </c>
      <c r="U17" s="67" t="e">
        <f t="shared" ca="1" si="0"/>
        <v>#DIV/0!</v>
      </c>
      <c r="V17" s="67">
        <f t="shared" ca="1" si="1"/>
        <v>0.1</v>
      </c>
      <c r="W17" s="69">
        <f t="shared" si="2"/>
        <v>0.94736842105263153</v>
      </c>
      <c r="X17" s="69">
        <f t="shared" si="13"/>
        <v>0.84210526315789525</v>
      </c>
      <c r="Y17" s="69">
        <f t="shared" si="14"/>
        <v>0.56140350877193024</v>
      </c>
      <c r="Z17" s="69">
        <f t="shared" si="3"/>
        <v>1.4035087719298245</v>
      </c>
      <c r="AA17" s="69">
        <f t="shared" si="15"/>
        <v>0.3508771929824564</v>
      </c>
      <c r="AB17" s="69">
        <f t="shared" si="4"/>
        <v>0.9824561403508778</v>
      </c>
      <c r="AC17" s="69">
        <f t="shared" si="5"/>
        <v>0.21052631578947367</v>
      </c>
      <c r="AD17" s="70">
        <f t="shared" si="16"/>
        <v>0.84210526315789525</v>
      </c>
      <c r="AE17" s="71">
        <f t="shared" si="6"/>
        <v>0.7</v>
      </c>
      <c r="AF17" s="71">
        <f t="shared" ca="1" si="7"/>
        <v>0.9</v>
      </c>
      <c r="AG17" s="72">
        <f t="shared" ca="1" si="8"/>
        <v>0.76666666666666661</v>
      </c>
      <c r="AH17" s="177">
        <f t="shared" si="9"/>
        <v>6.1403508771929847</v>
      </c>
      <c r="AI17" s="185">
        <f t="shared" ca="1" si="10"/>
        <v>47.076023391812882</v>
      </c>
      <c r="AJ17" s="179" t="str">
        <f t="shared" ca="1" si="11"/>
        <v>Q1</v>
      </c>
      <c r="AK17" s="88" t="s">
        <v>329</v>
      </c>
      <c r="AL17" s="255"/>
      <c r="AM17" s="269">
        <v>150000</v>
      </c>
      <c r="AN17" s="103"/>
      <c r="AO17" s="103"/>
      <c r="AP17" s="108"/>
      <c r="AQ17" s="299"/>
      <c r="AR17" s="327">
        <f t="shared" si="12"/>
        <v>150000</v>
      </c>
      <c r="AS17" s="166"/>
      <c r="AT17" s="166"/>
      <c r="AU17" s="166"/>
      <c r="AV17" s="324"/>
      <c r="AW17" s="89"/>
    </row>
    <row r="18" spans="1:49" ht="36" customHeight="1">
      <c r="A18" s="5">
        <v>154</v>
      </c>
      <c r="B18" s="229">
        <v>14</v>
      </c>
      <c r="C18" s="6" t="s">
        <v>14</v>
      </c>
      <c r="D18" s="133" t="s">
        <v>7</v>
      </c>
      <c r="E18" s="18" t="s">
        <v>745</v>
      </c>
      <c r="F18" s="20" t="s">
        <v>446</v>
      </c>
      <c r="G18" s="20" t="s">
        <v>103</v>
      </c>
      <c r="H18" s="215">
        <v>77650</v>
      </c>
      <c r="I18" s="51">
        <v>3</v>
      </c>
      <c r="J18" s="56">
        <v>0</v>
      </c>
      <c r="K18" s="50"/>
      <c r="L18" s="57"/>
      <c r="M18" s="62">
        <v>8.0000000000000053</v>
      </c>
      <c r="N18" s="63">
        <v>4</v>
      </c>
      <c r="O18" s="63">
        <v>6.0000000000000036</v>
      </c>
      <c r="P18" s="63">
        <v>8.0000000000000053</v>
      </c>
      <c r="Q18" s="63">
        <v>6</v>
      </c>
      <c r="R18" s="63">
        <v>3</v>
      </c>
      <c r="S18" s="63">
        <v>2</v>
      </c>
      <c r="T18" s="64">
        <v>8.0000000000000053</v>
      </c>
      <c r="U18" s="67" t="e">
        <f t="shared" ca="1" si="0"/>
        <v>#DIV/0!</v>
      </c>
      <c r="V18" s="67">
        <f t="shared" ca="1" si="1"/>
        <v>0</v>
      </c>
      <c r="W18" s="69">
        <f t="shared" si="2"/>
        <v>1.2631578947368429</v>
      </c>
      <c r="X18" s="69">
        <f t="shared" si="13"/>
        <v>0.42105263157894735</v>
      </c>
      <c r="Y18" s="69">
        <f t="shared" si="14"/>
        <v>0.84210526315789525</v>
      </c>
      <c r="Z18" s="69">
        <f t="shared" si="3"/>
        <v>1.4035087719298256</v>
      </c>
      <c r="AA18" s="69">
        <f t="shared" si="15"/>
        <v>0.52631578947368418</v>
      </c>
      <c r="AB18" s="69">
        <f t="shared" si="4"/>
        <v>0.36842105263157893</v>
      </c>
      <c r="AC18" s="69">
        <f t="shared" si="5"/>
        <v>0.21052631578947367</v>
      </c>
      <c r="AD18" s="70">
        <f t="shared" si="16"/>
        <v>0.84210526315789525</v>
      </c>
      <c r="AE18" s="71">
        <f t="shared" si="6"/>
        <v>0.7</v>
      </c>
      <c r="AF18" s="71">
        <f t="shared" ca="1" si="7"/>
        <v>1</v>
      </c>
      <c r="AG18" s="72">
        <f t="shared" ca="1" si="8"/>
        <v>0.79999999999999993</v>
      </c>
      <c r="AH18" s="177">
        <f t="shared" si="9"/>
        <v>5.8771929824561431</v>
      </c>
      <c r="AI18" s="185">
        <f t="shared" ca="1" si="10"/>
        <v>47.017543859649145</v>
      </c>
      <c r="AJ18" s="179" t="str">
        <f t="shared" ca="1" si="11"/>
        <v>Q2</v>
      </c>
      <c r="AK18" s="90" t="s">
        <v>342</v>
      </c>
      <c r="AL18" s="272"/>
      <c r="AM18" s="268">
        <v>77650</v>
      </c>
      <c r="AN18" s="103"/>
      <c r="AO18" s="103"/>
      <c r="AP18" s="108"/>
      <c r="AQ18" s="299"/>
      <c r="AR18" s="327">
        <f t="shared" si="12"/>
        <v>77650</v>
      </c>
      <c r="AS18" s="164"/>
      <c r="AT18" s="164"/>
      <c r="AU18" s="320"/>
      <c r="AV18" s="324"/>
      <c r="AW18" s="89"/>
    </row>
    <row r="19" spans="1:49" ht="36" customHeight="1">
      <c r="A19" s="5">
        <v>64</v>
      </c>
      <c r="B19" s="229">
        <v>15</v>
      </c>
      <c r="C19" s="6" t="s">
        <v>12</v>
      </c>
      <c r="D19" s="133" t="s">
        <v>7</v>
      </c>
      <c r="E19" s="18" t="s">
        <v>36</v>
      </c>
      <c r="F19" s="20" t="s">
        <v>37</v>
      </c>
      <c r="G19" s="20" t="s">
        <v>38</v>
      </c>
      <c r="H19" s="213">
        <v>127500</v>
      </c>
      <c r="I19" s="51">
        <v>3</v>
      </c>
      <c r="J19" s="56">
        <v>0.1</v>
      </c>
      <c r="K19" s="50"/>
      <c r="L19" s="57"/>
      <c r="M19" s="62">
        <v>8.0000000000000053</v>
      </c>
      <c r="N19" s="63">
        <v>4.0000000000000027</v>
      </c>
      <c r="O19" s="63">
        <v>4.0000000000000027</v>
      </c>
      <c r="P19" s="63">
        <v>9</v>
      </c>
      <c r="Q19" s="63">
        <v>7.0000000000000044</v>
      </c>
      <c r="R19" s="63">
        <v>6.0000000000000036</v>
      </c>
      <c r="S19" s="63">
        <v>1</v>
      </c>
      <c r="T19" s="64">
        <v>8.0000000000000053</v>
      </c>
      <c r="U19" s="67" t="e">
        <f t="shared" ca="1" si="0"/>
        <v>#DIV/0!</v>
      </c>
      <c r="V19" s="67">
        <f t="shared" ca="1" si="1"/>
        <v>0.1</v>
      </c>
      <c r="W19" s="69">
        <f t="shared" si="2"/>
        <v>1.2631578947368429</v>
      </c>
      <c r="X19" s="69">
        <f t="shared" si="13"/>
        <v>0.42105263157894762</v>
      </c>
      <c r="Y19" s="69">
        <f t="shared" si="14"/>
        <v>0.56140350877193024</v>
      </c>
      <c r="Z19" s="69">
        <f t="shared" si="3"/>
        <v>1.5789473684210527</v>
      </c>
      <c r="AA19" s="69">
        <f t="shared" si="15"/>
        <v>0.6140350877192986</v>
      </c>
      <c r="AB19" s="69">
        <f t="shared" si="4"/>
        <v>0.73684210526315841</v>
      </c>
      <c r="AC19" s="69">
        <f t="shared" si="5"/>
        <v>0.10526315789473684</v>
      </c>
      <c r="AD19" s="70">
        <f t="shared" si="16"/>
        <v>0.84210526315789525</v>
      </c>
      <c r="AE19" s="71">
        <f t="shared" si="6"/>
        <v>0.7</v>
      </c>
      <c r="AF19" s="71">
        <f t="shared" ca="1" si="7"/>
        <v>0.9</v>
      </c>
      <c r="AG19" s="72">
        <f t="shared" ca="1" si="8"/>
        <v>0.76666666666666661</v>
      </c>
      <c r="AH19" s="177">
        <f t="shared" si="9"/>
        <v>6.1228070175438631</v>
      </c>
      <c r="AI19" s="185">
        <f t="shared" ca="1" si="10"/>
        <v>46.941520467836284</v>
      </c>
      <c r="AJ19" s="179" t="str">
        <f t="shared" ca="1" si="11"/>
        <v>Q1</v>
      </c>
      <c r="AK19" s="90" t="s">
        <v>329</v>
      </c>
      <c r="AL19" s="254"/>
      <c r="AM19" s="103">
        <v>127500</v>
      </c>
      <c r="AN19" s="103"/>
      <c r="AO19" s="103"/>
      <c r="AP19" s="108"/>
      <c r="AQ19" s="299"/>
      <c r="AR19" s="327">
        <f t="shared" si="12"/>
        <v>127500</v>
      </c>
      <c r="AS19" s="164"/>
      <c r="AT19" s="164"/>
      <c r="AU19" s="320"/>
      <c r="AV19" s="324"/>
      <c r="AW19" s="89"/>
    </row>
    <row r="20" spans="1:49" ht="36" customHeight="1">
      <c r="A20" s="5">
        <v>76</v>
      </c>
      <c r="B20" s="229">
        <v>16</v>
      </c>
      <c r="C20" s="6" t="s">
        <v>14</v>
      </c>
      <c r="D20" s="133" t="s">
        <v>385</v>
      </c>
      <c r="E20" s="10" t="s">
        <v>706</v>
      </c>
      <c r="F20" s="23" t="s">
        <v>707</v>
      </c>
      <c r="G20" s="17" t="s">
        <v>46</v>
      </c>
      <c r="H20" s="215">
        <v>135000</v>
      </c>
      <c r="I20" s="51">
        <v>3</v>
      </c>
      <c r="J20" s="56">
        <v>0.1</v>
      </c>
      <c r="K20" s="50"/>
      <c r="L20" s="57"/>
      <c r="M20" s="62">
        <v>6.0000000000000036</v>
      </c>
      <c r="N20" s="63">
        <v>8</v>
      </c>
      <c r="O20" s="63">
        <v>6.0000000000000036</v>
      </c>
      <c r="P20" s="63">
        <v>8.0000000000000053</v>
      </c>
      <c r="Q20" s="63">
        <v>4.0000000000000027</v>
      </c>
      <c r="R20" s="63">
        <v>6.0000000000000036</v>
      </c>
      <c r="S20" s="63">
        <v>1</v>
      </c>
      <c r="T20" s="64">
        <v>8</v>
      </c>
      <c r="U20" s="67" t="e">
        <f t="shared" ca="1" si="0"/>
        <v>#DIV/0!</v>
      </c>
      <c r="V20" s="67">
        <f t="shared" ca="1" si="1"/>
        <v>0.1</v>
      </c>
      <c r="W20" s="69">
        <f t="shared" si="2"/>
        <v>0.94736842105263208</v>
      </c>
      <c r="X20" s="69">
        <f t="shared" si="13"/>
        <v>0.84210526315789469</v>
      </c>
      <c r="Y20" s="69">
        <f t="shared" si="14"/>
        <v>0.84210526315789525</v>
      </c>
      <c r="Z20" s="69">
        <f t="shared" si="3"/>
        <v>1.4035087719298256</v>
      </c>
      <c r="AA20" s="69">
        <f t="shared" si="15"/>
        <v>0.3508771929824564</v>
      </c>
      <c r="AB20" s="69">
        <f t="shared" si="4"/>
        <v>0.73684210526315841</v>
      </c>
      <c r="AC20" s="69">
        <f t="shared" si="5"/>
        <v>0.10526315789473684</v>
      </c>
      <c r="AD20" s="70">
        <f t="shared" si="16"/>
        <v>0.84210526315789469</v>
      </c>
      <c r="AE20" s="71">
        <f t="shared" si="6"/>
        <v>0.7</v>
      </c>
      <c r="AF20" s="71">
        <f t="shared" ca="1" si="7"/>
        <v>0.9</v>
      </c>
      <c r="AG20" s="72">
        <f t="shared" ca="1" si="8"/>
        <v>0.76666666666666661</v>
      </c>
      <c r="AH20" s="177">
        <f t="shared" si="9"/>
        <v>6.0701754385964941</v>
      </c>
      <c r="AI20" s="185">
        <f t="shared" ca="1" si="10"/>
        <v>46.538011695906448</v>
      </c>
      <c r="AJ20" s="179" t="str">
        <f t="shared" ca="1" si="11"/>
        <v>Q1</v>
      </c>
      <c r="AK20" s="90" t="s">
        <v>342</v>
      </c>
      <c r="AL20" s="254"/>
      <c r="AM20" s="169">
        <v>135000</v>
      </c>
      <c r="AN20" s="103"/>
      <c r="AO20" s="103"/>
      <c r="AP20" s="108"/>
      <c r="AQ20" s="299"/>
      <c r="AR20" s="327">
        <f t="shared" si="12"/>
        <v>135000</v>
      </c>
      <c r="AS20" s="164"/>
      <c r="AT20" s="164"/>
      <c r="AU20" s="320"/>
      <c r="AV20" s="324"/>
      <c r="AW20" s="89"/>
    </row>
    <row r="21" spans="1:49" ht="36" customHeight="1">
      <c r="A21" s="5">
        <v>340</v>
      </c>
      <c r="B21" s="229">
        <v>17</v>
      </c>
      <c r="C21" s="6" t="s">
        <v>9</v>
      </c>
      <c r="D21" s="133" t="s">
        <v>10</v>
      </c>
      <c r="E21" s="10" t="s">
        <v>299</v>
      </c>
      <c r="F21" s="17" t="s">
        <v>669</v>
      </c>
      <c r="G21" s="119" t="s">
        <v>300</v>
      </c>
      <c r="H21" s="215">
        <v>300000</v>
      </c>
      <c r="I21" s="51">
        <v>2</v>
      </c>
      <c r="J21" s="56">
        <v>0</v>
      </c>
      <c r="K21" s="50"/>
      <c r="L21" s="57"/>
      <c r="M21" s="62">
        <v>4.0000000000000027</v>
      </c>
      <c r="N21" s="63">
        <v>6.0000000000000036</v>
      </c>
      <c r="O21" s="63">
        <v>4.0000000000000027</v>
      </c>
      <c r="P21" s="63">
        <v>6.0000000000000036</v>
      </c>
      <c r="Q21" s="63">
        <v>8.0000000000000053</v>
      </c>
      <c r="R21" s="63">
        <v>6.0000000000000036</v>
      </c>
      <c r="S21" s="63">
        <v>0</v>
      </c>
      <c r="T21" s="64">
        <v>10</v>
      </c>
      <c r="U21" s="67" t="e">
        <f t="shared" ca="1" si="0"/>
        <v>#DIV/0!</v>
      </c>
      <c r="V21" s="67">
        <f t="shared" ca="1" si="1"/>
        <v>0</v>
      </c>
      <c r="W21" s="69">
        <f t="shared" si="2"/>
        <v>0.63157894736842146</v>
      </c>
      <c r="X21" s="69">
        <f t="shared" si="13"/>
        <v>0.63157894736842146</v>
      </c>
      <c r="Y21" s="69">
        <f t="shared" si="14"/>
        <v>0.56140350877193024</v>
      </c>
      <c r="Z21" s="69">
        <f t="shared" si="3"/>
        <v>1.052631578947369</v>
      </c>
      <c r="AA21" s="69">
        <f t="shared" si="15"/>
        <v>0.7017543859649128</v>
      </c>
      <c r="AB21" s="69">
        <f t="shared" si="4"/>
        <v>0.73684210526315841</v>
      </c>
      <c r="AC21" s="69">
        <f t="shared" si="5"/>
        <v>0</v>
      </c>
      <c r="AD21" s="70">
        <f t="shared" si="16"/>
        <v>1.0526315789473684</v>
      </c>
      <c r="AE21" s="71">
        <f t="shared" si="6"/>
        <v>0.8</v>
      </c>
      <c r="AF21" s="71">
        <f t="shared" ca="1" si="7"/>
        <v>1</v>
      </c>
      <c r="AG21" s="72">
        <f t="shared" ca="1" si="8"/>
        <v>0.8666666666666667</v>
      </c>
      <c r="AH21" s="177">
        <f t="shared" si="9"/>
        <v>5.3684210526315814</v>
      </c>
      <c r="AI21" s="185">
        <f t="shared" ca="1" si="10"/>
        <v>46.526315789473706</v>
      </c>
      <c r="AJ21" s="179" t="str">
        <f t="shared" ca="1" si="11"/>
        <v>Q2</v>
      </c>
      <c r="AK21" s="90" t="s">
        <v>342</v>
      </c>
      <c r="AL21" s="254">
        <v>25000</v>
      </c>
      <c r="AM21" s="103">
        <v>100000</v>
      </c>
      <c r="AN21" s="103">
        <v>175000</v>
      </c>
      <c r="AO21" s="103" t="s">
        <v>416</v>
      </c>
      <c r="AP21" s="108"/>
      <c r="AQ21" s="299"/>
      <c r="AR21" s="327">
        <f t="shared" si="12"/>
        <v>100000</v>
      </c>
      <c r="AS21" s="164">
        <f>AN21*(1+Efactor)</f>
        <v>181125</v>
      </c>
      <c r="AT21" s="164"/>
      <c r="AU21" s="320"/>
      <c r="AV21" s="324"/>
      <c r="AW21" s="89"/>
    </row>
    <row r="22" spans="1:49" ht="36" customHeight="1">
      <c r="A22" s="5">
        <v>49</v>
      </c>
      <c r="B22" s="229">
        <v>18</v>
      </c>
      <c r="C22" s="6" t="s">
        <v>20</v>
      </c>
      <c r="D22" s="133" t="s">
        <v>385</v>
      </c>
      <c r="E22" s="21" t="s">
        <v>445</v>
      </c>
      <c r="F22" s="13" t="s">
        <v>621</v>
      </c>
      <c r="G22" s="114" t="s">
        <v>33</v>
      </c>
      <c r="H22" s="215">
        <v>310000</v>
      </c>
      <c r="I22" s="51">
        <v>2</v>
      </c>
      <c r="J22" s="56">
        <v>0.2</v>
      </c>
      <c r="K22" s="50"/>
      <c r="L22" s="57"/>
      <c r="M22" s="62">
        <v>8.0000000000000053</v>
      </c>
      <c r="N22" s="63">
        <v>8</v>
      </c>
      <c r="O22" s="63">
        <v>4</v>
      </c>
      <c r="P22" s="63">
        <v>8.0000000000000053</v>
      </c>
      <c r="Q22" s="63">
        <v>4</v>
      </c>
      <c r="R22" s="63">
        <v>6</v>
      </c>
      <c r="S22" s="63">
        <v>0</v>
      </c>
      <c r="T22" s="64">
        <v>6.0000000000000036</v>
      </c>
      <c r="U22" s="67" t="e">
        <f t="shared" ca="1" si="0"/>
        <v>#DIV/0!</v>
      </c>
      <c r="V22" s="67">
        <f t="shared" ca="1" si="1"/>
        <v>0.2</v>
      </c>
      <c r="W22" s="69">
        <f t="shared" si="2"/>
        <v>1.2631578947368429</v>
      </c>
      <c r="X22" s="69">
        <f t="shared" si="13"/>
        <v>0.84210526315789469</v>
      </c>
      <c r="Y22" s="69">
        <f t="shared" si="14"/>
        <v>0.56140350877192979</v>
      </c>
      <c r="Z22" s="69">
        <f t="shared" si="3"/>
        <v>1.4035087719298256</v>
      </c>
      <c r="AA22" s="69">
        <f t="shared" si="15"/>
        <v>0.35087719298245612</v>
      </c>
      <c r="AB22" s="69">
        <f t="shared" si="4"/>
        <v>0.73684210526315785</v>
      </c>
      <c r="AC22" s="69">
        <f t="shared" si="5"/>
        <v>0</v>
      </c>
      <c r="AD22" s="70">
        <f t="shared" si="16"/>
        <v>0.63157894736842146</v>
      </c>
      <c r="AE22" s="71">
        <f t="shared" si="6"/>
        <v>0.8</v>
      </c>
      <c r="AF22" s="71">
        <f t="shared" ca="1" si="7"/>
        <v>0.8</v>
      </c>
      <c r="AG22" s="72">
        <f t="shared" ca="1" si="8"/>
        <v>0.80000000000000016</v>
      </c>
      <c r="AH22" s="177">
        <f t="shared" si="9"/>
        <v>5.7894736842105283</v>
      </c>
      <c r="AI22" s="185">
        <f t="shared" ca="1" si="10"/>
        <v>46.315789473684241</v>
      </c>
      <c r="AJ22" s="179" t="str">
        <f t="shared" ca="1" si="11"/>
        <v>Q2</v>
      </c>
      <c r="AK22" s="90" t="s">
        <v>329</v>
      </c>
      <c r="AL22" s="254"/>
      <c r="AM22" s="103">
        <v>310000</v>
      </c>
      <c r="AN22" s="103"/>
      <c r="AO22" s="103"/>
      <c r="AP22" s="108"/>
      <c r="AQ22" s="299"/>
      <c r="AR22" s="327">
        <f t="shared" si="12"/>
        <v>310000</v>
      </c>
      <c r="AS22" s="164"/>
      <c r="AT22" s="164"/>
      <c r="AU22" s="320"/>
      <c r="AV22" s="324"/>
      <c r="AW22" s="89"/>
    </row>
    <row r="23" spans="1:49" ht="36" customHeight="1">
      <c r="A23" s="1">
        <v>79</v>
      </c>
      <c r="B23" s="229">
        <v>19</v>
      </c>
      <c r="C23" s="2" t="s">
        <v>18</v>
      </c>
      <c r="D23" s="132" t="s">
        <v>383</v>
      </c>
      <c r="E23" s="12" t="s">
        <v>708</v>
      </c>
      <c r="F23" s="182" t="s">
        <v>526</v>
      </c>
      <c r="G23" s="196" t="s">
        <v>29</v>
      </c>
      <c r="H23" s="212">
        <v>90000</v>
      </c>
      <c r="I23" s="138">
        <v>1</v>
      </c>
      <c r="J23" s="139">
        <v>0.1</v>
      </c>
      <c r="K23" s="138"/>
      <c r="L23" s="140"/>
      <c r="M23" s="62">
        <v>4.0000000000000027</v>
      </c>
      <c r="N23" s="63">
        <v>9.0000000000000018</v>
      </c>
      <c r="O23" s="63">
        <v>1</v>
      </c>
      <c r="P23" s="63">
        <v>8.0000000000000053</v>
      </c>
      <c r="Q23" s="63">
        <v>1</v>
      </c>
      <c r="R23" s="63">
        <v>8.0000000000000053</v>
      </c>
      <c r="S23" s="63">
        <v>0</v>
      </c>
      <c r="T23" s="64">
        <v>9.0000000000000018</v>
      </c>
      <c r="U23" s="141" t="e">
        <f t="shared" ca="1" si="0"/>
        <v>#DIV/0!</v>
      </c>
      <c r="V23" s="141">
        <f t="shared" ca="1" si="1"/>
        <v>0.1</v>
      </c>
      <c r="W23" s="69">
        <f t="shared" si="2"/>
        <v>0.63157894736842146</v>
      </c>
      <c r="X23" s="69">
        <f t="shared" si="13"/>
        <v>0.94736842105263186</v>
      </c>
      <c r="Y23" s="69">
        <f t="shared" si="14"/>
        <v>0.14035087719298245</v>
      </c>
      <c r="Z23" s="69">
        <f t="shared" si="3"/>
        <v>1.4035087719298256</v>
      </c>
      <c r="AA23" s="69">
        <f t="shared" si="15"/>
        <v>8.771929824561403E-2</v>
      </c>
      <c r="AB23" s="69">
        <f t="shared" si="4"/>
        <v>0.9824561403508778</v>
      </c>
      <c r="AC23" s="69">
        <f t="shared" si="5"/>
        <v>0</v>
      </c>
      <c r="AD23" s="70">
        <f t="shared" si="16"/>
        <v>0.94736842105263186</v>
      </c>
      <c r="AE23" s="71">
        <f t="shared" si="6"/>
        <v>0.9</v>
      </c>
      <c r="AF23" s="71">
        <f t="shared" ca="1" si="7"/>
        <v>0.9</v>
      </c>
      <c r="AG23" s="72">
        <f t="shared" ca="1" si="8"/>
        <v>0.9</v>
      </c>
      <c r="AH23" s="176">
        <f t="shared" si="9"/>
        <v>5.1403508771929847</v>
      </c>
      <c r="AI23" s="184">
        <f t="shared" ca="1" si="10"/>
        <v>46.263157894736864</v>
      </c>
      <c r="AJ23" s="179" t="str">
        <f t="shared" ca="1" si="11"/>
        <v>Q2</v>
      </c>
      <c r="AK23" s="86" t="s">
        <v>662</v>
      </c>
      <c r="AL23" s="270">
        <v>45000</v>
      </c>
      <c r="AM23" s="269">
        <v>45000</v>
      </c>
      <c r="AN23" s="103"/>
      <c r="AO23" s="103"/>
      <c r="AP23" s="108"/>
      <c r="AQ23" s="299"/>
      <c r="AR23" s="327">
        <f t="shared" si="12"/>
        <v>45000</v>
      </c>
      <c r="AS23" s="164"/>
      <c r="AT23" s="164"/>
      <c r="AU23" s="320"/>
      <c r="AV23" s="324"/>
      <c r="AW23" s="87"/>
    </row>
    <row r="24" spans="1:49" ht="36" customHeight="1">
      <c r="A24" s="5">
        <v>67</v>
      </c>
      <c r="B24" s="229">
        <v>20</v>
      </c>
      <c r="C24" s="14" t="s">
        <v>8</v>
      </c>
      <c r="D24" s="168" t="s">
        <v>7</v>
      </c>
      <c r="E24" s="7" t="s">
        <v>648</v>
      </c>
      <c r="F24" s="11" t="s">
        <v>649</v>
      </c>
      <c r="G24" s="8" t="s">
        <v>39</v>
      </c>
      <c r="H24" s="213">
        <v>105000</v>
      </c>
      <c r="I24" s="51">
        <v>2</v>
      </c>
      <c r="J24" s="56">
        <v>0.1</v>
      </c>
      <c r="K24" s="50"/>
      <c r="L24" s="57"/>
      <c r="M24" s="62">
        <v>6</v>
      </c>
      <c r="N24" s="63">
        <v>8.0000000000000053</v>
      </c>
      <c r="O24" s="63">
        <v>4</v>
      </c>
      <c r="P24" s="63">
        <v>7</v>
      </c>
      <c r="Q24" s="63">
        <v>0</v>
      </c>
      <c r="R24" s="63">
        <v>8.0000000000000053</v>
      </c>
      <c r="S24" s="63">
        <v>1</v>
      </c>
      <c r="T24" s="64">
        <v>8</v>
      </c>
      <c r="U24" s="67" t="e">
        <f t="shared" ca="1" si="0"/>
        <v>#DIV/0!</v>
      </c>
      <c r="V24" s="67">
        <f t="shared" ca="1" si="1"/>
        <v>0.1</v>
      </c>
      <c r="W24" s="69">
        <f t="shared" si="2"/>
        <v>0.94736842105263153</v>
      </c>
      <c r="X24" s="69">
        <f t="shared" si="13"/>
        <v>0.84210526315789525</v>
      </c>
      <c r="Y24" s="69">
        <f t="shared" si="14"/>
        <v>0.56140350877192979</v>
      </c>
      <c r="Z24" s="69">
        <f t="shared" si="3"/>
        <v>1.2280701754385965</v>
      </c>
      <c r="AA24" s="69">
        <f t="shared" si="15"/>
        <v>0</v>
      </c>
      <c r="AB24" s="69">
        <f t="shared" si="4"/>
        <v>0.9824561403508778</v>
      </c>
      <c r="AC24" s="69">
        <f t="shared" si="5"/>
        <v>0.10526315789473684</v>
      </c>
      <c r="AD24" s="70">
        <f t="shared" si="16"/>
        <v>0.84210526315789469</v>
      </c>
      <c r="AE24" s="71">
        <f t="shared" si="6"/>
        <v>0.8</v>
      </c>
      <c r="AF24" s="71">
        <f t="shared" ca="1" si="7"/>
        <v>0.9</v>
      </c>
      <c r="AG24" s="72">
        <f t="shared" ca="1" si="8"/>
        <v>0.83333333333333337</v>
      </c>
      <c r="AH24" s="177">
        <f t="shared" si="9"/>
        <v>5.5087719298245625</v>
      </c>
      <c r="AI24" s="185">
        <f t="shared" ca="1" si="10"/>
        <v>45.906432748538023</v>
      </c>
      <c r="AJ24" s="179" t="str">
        <f t="shared" ca="1" si="11"/>
        <v>Q2</v>
      </c>
      <c r="AK24" s="90" t="s">
        <v>380</v>
      </c>
      <c r="AL24" s="101"/>
      <c r="AM24" s="268">
        <v>105000</v>
      </c>
      <c r="AN24" s="103"/>
      <c r="AO24" s="103"/>
      <c r="AP24" s="108"/>
      <c r="AQ24" s="299"/>
      <c r="AR24" s="327">
        <f t="shared" si="12"/>
        <v>105000</v>
      </c>
      <c r="AS24" s="164"/>
      <c r="AT24" s="164"/>
      <c r="AU24" s="320"/>
      <c r="AV24" s="324"/>
      <c r="AW24" s="89"/>
    </row>
    <row r="25" spans="1:49" s="124" customFormat="1" ht="36" customHeight="1">
      <c r="A25" s="5"/>
      <c r="B25" s="229">
        <v>21</v>
      </c>
      <c r="C25" s="6" t="s">
        <v>20</v>
      </c>
      <c r="D25" s="133" t="s">
        <v>384</v>
      </c>
      <c r="E25" s="18" t="s">
        <v>439</v>
      </c>
      <c r="F25" s="20" t="s">
        <v>443</v>
      </c>
      <c r="G25" s="20"/>
      <c r="H25" s="216">
        <v>150000</v>
      </c>
      <c r="I25" s="51">
        <v>2</v>
      </c>
      <c r="J25" s="56">
        <v>0.1</v>
      </c>
      <c r="K25" s="50"/>
      <c r="L25" s="57"/>
      <c r="M25" s="62">
        <v>4</v>
      </c>
      <c r="N25" s="63">
        <v>6</v>
      </c>
      <c r="O25" s="63">
        <v>2</v>
      </c>
      <c r="P25" s="63">
        <v>8</v>
      </c>
      <c r="Q25" s="63">
        <v>3</v>
      </c>
      <c r="R25" s="63">
        <v>10</v>
      </c>
      <c r="S25" s="63">
        <v>0</v>
      </c>
      <c r="T25" s="64">
        <v>10</v>
      </c>
      <c r="U25" s="67" t="e">
        <f t="shared" ca="1" si="0"/>
        <v>#DIV/0!</v>
      </c>
      <c r="V25" s="67">
        <f t="shared" ca="1" si="1"/>
        <v>0.1</v>
      </c>
      <c r="W25" s="69">
        <f t="shared" si="2"/>
        <v>0.63157894736842102</v>
      </c>
      <c r="X25" s="69">
        <f t="shared" si="13"/>
        <v>0.63157894736842102</v>
      </c>
      <c r="Y25" s="69">
        <f t="shared" si="14"/>
        <v>0.2807017543859649</v>
      </c>
      <c r="Z25" s="69">
        <f t="shared" si="3"/>
        <v>1.4035087719298245</v>
      </c>
      <c r="AA25" s="69">
        <f t="shared" si="15"/>
        <v>0.26315789473684209</v>
      </c>
      <c r="AB25" s="69">
        <f t="shared" si="4"/>
        <v>1.2280701754385965</v>
      </c>
      <c r="AC25" s="69">
        <f t="shared" si="5"/>
        <v>0</v>
      </c>
      <c r="AD25" s="70">
        <f t="shared" si="16"/>
        <v>1.0526315789473684</v>
      </c>
      <c r="AE25" s="71">
        <f t="shared" si="6"/>
        <v>0.8</v>
      </c>
      <c r="AF25" s="71">
        <f t="shared" ca="1" si="7"/>
        <v>0.9</v>
      </c>
      <c r="AG25" s="72">
        <f t="shared" ca="1" si="8"/>
        <v>0.83333333333333337</v>
      </c>
      <c r="AH25" s="177">
        <f t="shared" si="9"/>
        <v>5.4912280701754383</v>
      </c>
      <c r="AI25" s="185">
        <f t="shared" ca="1" si="10"/>
        <v>45.760233918128662</v>
      </c>
      <c r="AJ25" s="179" t="str">
        <f t="shared" ca="1" si="11"/>
        <v>Q2</v>
      </c>
      <c r="AK25" s="135" t="s">
        <v>430</v>
      </c>
      <c r="AL25" s="101"/>
      <c r="AM25" s="268">
        <v>150000</v>
      </c>
      <c r="AN25" s="103"/>
      <c r="AO25" s="103"/>
      <c r="AP25" s="108"/>
      <c r="AQ25" s="299"/>
      <c r="AR25" s="327">
        <f t="shared" si="12"/>
        <v>150000</v>
      </c>
      <c r="AS25" s="164"/>
      <c r="AT25" s="164"/>
      <c r="AU25" s="320"/>
      <c r="AV25" s="324"/>
      <c r="AW25" s="89"/>
    </row>
    <row r="26" spans="1:49" ht="36" customHeight="1">
      <c r="A26" s="1">
        <v>178</v>
      </c>
      <c r="B26" s="229">
        <v>22</v>
      </c>
      <c r="C26" s="304" t="s">
        <v>18</v>
      </c>
      <c r="D26" s="305"/>
      <c r="E26" s="167" t="s">
        <v>683</v>
      </c>
      <c r="F26" s="191" t="s">
        <v>713</v>
      </c>
      <c r="G26" s="307"/>
      <c r="H26" s="308">
        <v>850000</v>
      </c>
      <c r="I26" s="142">
        <v>2</v>
      </c>
      <c r="J26" s="139">
        <v>0.1</v>
      </c>
      <c r="K26" s="138"/>
      <c r="L26" s="140"/>
      <c r="M26" s="62">
        <v>2</v>
      </c>
      <c r="N26" s="63">
        <v>8</v>
      </c>
      <c r="O26" s="63">
        <v>6</v>
      </c>
      <c r="P26" s="63">
        <v>7</v>
      </c>
      <c r="Q26" s="63">
        <v>1</v>
      </c>
      <c r="R26" s="63">
        <v>10</v>
      </c>
      <c r="S26" s="63">
        <v>0</v>
      </c>
      <c r="T26" s="64">
        <v>9</v>
      </c>
      <c r="U26" s="141" t="e">
        <f t="shared" ca="1" si="0"/>
        <v>#DIV/0!</v>
      </c>
      <c r="V26" s="141">
        <f t="shared" ca="1" si="1"/>
        <v>0.1</v>
      </c>
      <c r="W26" s="69">
        <f t="shared" si="2"/>
        <v>0.31578947368421051</v>
      </c>
      <c r="X26" s="69">
        <f t="shared" si="13"/>
        <v>0.84210526315789469</v>
      </c>
      <c r="Y26" s="69">
        <f t="shared" si="14"/>
        <v>0.84210526315789469</v>
      </c>
      <c r="Z26" s="69">
        <f t="shared" si="3"/>
        <v>1.2280701754385965</v>
      </c>
      <c r="AA26" s="69">
        <f t="shared" si="15"/>
        <v>8.771929824561403E-2</v>
      </c>
      <c r="AB26" s="69">
        <f t="shared" si="4"/>
        <v>1.2280701754385965</v>
      </c>
      <c r="AC26" s="69">
        <f t="shared" si="5"/>
        <v>0</v>
      </c>
      <c r="AD26" s="70">
        <f t="shared" si="16"/>
        <v>0.94736842105263153</v>
      </c>
      <c r="AE26" s="71">
        <f t="shared" si="6"/>
        <v>0.8</v>
      </c>
      <c r="AF26" s="71">
        <f t="shared" ca="1" si="7"/>
        <v>0.9</v>
      </c>
      <c r="AG26" s="72">
        <f t="shared" ca="1" si="8"/>
        <v>0.83333333333333337</v>
      </c>
      <c r="AH26" s="176">
        <f t="shared" si="9"/>
        <v>5.4912280701754392</v>
      </c>
      <c r="AI26" s="184">
        <f t="shared" ca="1" si="10"/>
        <v>45.760233918128662</v>
      </c>
      <c r="AJ26" s="179" t="str">
        <f t="shared" ca="1" si="11"/>
        <v>Q2</v>
      </c>
      <c r="AK26" s="311" t="s">
        <v>338</v>
      </c>
      <c r="AL26" s="255">
        <v>30000</v>
      </c>
      <c r="AM26" s="268">
        <v>820000</v>
      </c>
      <c r="AN26" s="103"/>
      <c r="AO26" s="98"/>
      <c r="AP26" s="188"/>
      <c r="AQ26" s="298"/>
      <c r="AR26" s="327">
        <f t="shared" si="12"/>
        <v>820000</v>
      </c>
      <c r="AS26" s="164"/>
      <c r="AT26" s="164"/>
      <c r="AU26" s="320"/>
      <c r="AV26" s="324"/>
      <c r="AW26" s="87"/>
    </row>
    <row r="27" spans="1:49" s="124" customFormat="1" ht="36" customHeight="1">
      <c r="A27" s="5"/>
      <c r="B27" s="229">
        <v>23</v>
      </c>
      <c r="C27" s="6" t="s">
        <v>17</v>
      </c>
      <c r="D27" s="133" t="s">
        <v>385</v>
      </c>
      <c r="E27" s="10" t="s">
        <v>629</v>
      </c>
      <c r="F27" s="17" t="s">
        <v>630</v>
      </c>
      <c r="G27" s="117" t="s">
        <v>132</v>
      </c>
      <c r="H27" s="215">
        <v>240000</v>
      </c>
      <c r="I27" s="51">
        <v>3</v>
      </c>
      <c r="J27" s="56">
        <v>0</v>
      </c>
      <c r="K27" s="50"/>
      <c r="L27" s="57"/>
      <c r="M27" s="62">
        <v>6.0000000000000036</v>
      </c>
      <c r="N27" s="63">
        <v>8.0000000000000053</v>
      </c>
      <c r="O27" s="63">
        <v>5</v>
      </c>
      <c r="P27" s="63">
        <v>8.0000000000000053</v>
      </c>
      <c r="Q27" s="63">
        <v>4.0000000000000027</v>
      </c>
      <c r="R27" s="63">
        <v>6.0000000000000036</v>
      </c>
      <c r="S27" s="63">
        <v>0</v>
      </c>
      <c r="T27" s="64">
        <v>7</v>
      </c>
      <c r="U27" s="67" t="e">
        <f t="shared" ca="1" si="0"/>
        <v>#DIV/0!</v>
      </c>
      <c r="V27" s="67">
        <f t="shared" ca="1" si="1"/>
        <v>0</v>
      </c>
      <c r="W27" s="69">
        <f t="shared" si="2"/>
        <v>0.94736842105263208</v>
      </c>
      <c r="X27" s="69">
        <f t="shared" si="13"/>
        <v>0.84210526315789525</v>
      </c>
      <c r="Y27" s="69">
        <f t="shared" si="14"/>
        <v>0.70175438596491224</v>
      </c>
      <c r="Z27" s="69">
        <f t="shared" si="3"/>
        <v>1.4035087719298256</v>
      </c>
      <c r="AA27" s="69">
        <f t="shared" si="15"/>
        <v>0.3508771929824564</v>
      </c>
      <c r="AB27" s="69">
        <f t="shared" si="4"/>
        <v>0.73684210526315841</v>
      </c>
      <c r="AC27" s="69">
        <f t="shared" si="5"/>
        <v>0</v>
      </c>
      <c r="AD27" s="70">
        <f t="shared" si="16"/>
        <v>0.73684210526315785</v>
      </c>
      <c r="AE27" s="71">
        <f t="shared" si="6"/>
        <v>0.7</v>
      </c>
      <c r="AF27" s="71">
        <f t="shared" ca="1" si="7"/>
        <v>1</v>
      </c>
      <c r="AG27" s="72">
        <f t="shared" ca="1" si="8"/>
        <v>0.79999999999999993</v>
      </c>
      <c r="AH27" s="177">
        <f t="shared" si="9"/>
        <v>5.7192982456140378</v>
      </c>
      <c r="AI27" s="185">
        <f t="shared" ca="1" si="10"/>
        <v>45.754385964912302</v>
      </c>
      <c r="AJ27" s="179" t="str">
        <f t="shared" ca="1" si="11"/>
        <v>Q2</v>
      </c>
      <c r="AK27" s="90" t="s">
        <v>342</v>
      </c>
      <c r="AL27" s="101"/>
      <c r="AM27" s="269">
        <v>240000</v>
      </c>
      <c r="AN27" s="103"/>
      <c r="AO27" s="103"/>
      <c r="AP27" s="108"/>
      <c r="AQ27" s="299"/>
      <c r="AR27" s="327">
        <f t="shared" si="12"/>
        <v>240000</v>
      </c>
      <c r="AS27" s="164"/>
      <c r="AT27" s="164"/>
      <c r="AU27" s="320"/>
      <c r="AV27" s="324"/>
      <c r="AW27" s="89"/>
    </row>
    <row r="28" spans="1:49" ht="36" customHeight="1">
      <c r="A28" s="5">
        <v>216</v>
      </c>
      <c r="B28" s="229">
        <v>24</v>
      </c>
      <c r="C28" s="6" t="s">
        <v>20</v>
      </c>
      <c r="D28" s="133" t="s">
        <v>384</v>
      </c>
      <c r="E28" s="204" t="s">
        <v>749</v>
      </c>
      <c r="F28" s="23" t="s">
        <v>709</v>
      </c>
      <c r="G28" s="13"/>
      <c r="H28" s="215">
        <v>138000</v>
      </c>
      <c r="I28" s="51">
        <v>3</v>
      </c>
      <c r="J28" s="56">
        <v>0.1</v>
      </c>
      <c r="K28" s="50"/>
      <c r="L28" s="57"/>
      <c r="M28" s="62">
        <v>8</v>
      </c>
      <c r="N28" s="63">
        <v>6</v>
      </c>
      <c r="O28" s="63">
        <v>2</v>
      </c>
      <c r="P28" s="63">
        <v>9</v>
      </c>
      <c r="Q28" s="63">
        <v>5</v>
      </c>
      <c r="R28" s="63">
        <v>5</v>
      </c>
      <c r="S28" s="63">
        <v>1</v>
      </c>
      <c r="T28" s="64">
        <v>10</v>
      </c>
      <c r="U28" s="67" t="e">
        <f t="shared" ca="1" si="0"/>
        <v>#DIV/0!</v>
      </c>
      <c r="V28" s="67">
        <f t="shared" ca="1" si="1"/>
        <v>0.1</v>
      </c>
      <c r="W28" s="69">
        <f t="shared" si="2"/>
        <v>1.263157894736842</v>
      </c>
      <c r="X28" s="69">
        <f t="shared" si="13"/>
        <v>0.63157894736842102</v>
      </c>
      <c r="Y28" s="69">
        <f t="shared" si="14"/>
        <v>0.2807017543859649</v>
      </c>
      <c r="Z28" s="69">
        <f t="shared" si="3"/>
        <v>1.5789473684210527</v>
      </c>
      <c r="AA28" s="69">
        <f t="shared" si="15"/>
        <v>0.43859649122807015</v>
      </c>
      <c r="AB28" s="69">
        <f t="shared" si="4"/>
        <v>0.61403508771929827</v>
      </c>
      <c r="AC28" s="69">
        <f t="shared" si="5"/>
        <v>0.10526315789473684</v>
      </c>
      <c r="AD28" s="70">
        <f t="shared" si="16"/>
        <v>1.0526315789473684</v>
      </c>
      <c r="AE28" s="71">
        <f t="shared" si="6"/>
        <v>0.7</v>
      </c>
      <c r="AF28" s="71">
        <f t="shared" ca="1" si="7"/>
        <v>0.9</v>
      </c>
      <c r="AG28" s="72">
        <f t="shared" ca="1" si="8"/>
        <v>0.76666666666666661</v>
      </c>
      <c r="AH28" s="177">
        <f t="shared" si="9"/>
        <v>5.9649122807017534</v>
      </c>
      <c r="AI28" s="185">
        <f t="shared" ca="1" si="10"/>
        <v>45.730994152046769</v>
      </c>
      <c r="AJ28" s="179" t="str">
        <f t="shared" ca="1" si="11"/>
        <v>Q2</v>
      </c>
      <c r="AK28" s="90" t="s">
        <v>430</v>
      </c>
      <c r="AL28" s="101"/>
      <c r="AM28" s="269">
        <v>138000</v>
      </c>
      <c r="AN28" s="103"/>
      <c r="AO28" s="103"/>
      <c r="AP28" s="108"/>
      <c r="AQ28" s="299"/>
      <c r="AR28" s="327">
        <f t="shared" si="12"/>
        <v>138000</v>
      </c>
      <c r="AS28" s="164"/>
      <c r="AT28" s="164"/>
      <c r="AU28" s="320"/>
      <c r="AV28" s="324"/>
      <c r="AW28" s="89"/>
    </row>
    <row r="29" spans="1:49" ht="36" customHeight="1">
      <c r="A29" s="5"/>
      <c r="B29" s="229">
        <v>25</v>
      </c>
      <c r="C29" s="6" t="s">
        <v>9</v>
      </c>
      <c r="D29" s="133" t="s">
        <v>10</v>
      </c>
      <c r="E29" s="10" t="s">
        <v>162</v>
      </c>
      <c r="F29" s="28" t="s">
        <v>643</v>
      </c>
      <c r="G29" s="118" t="s">
        <v>163</v>
      </c>
      <c r="H29" s="215">
        <v>210000</v>
      </c>
      <c r="I29" s="51">
        <v>2</v>
      </c>
      <c r="J29" s="56">
        <v>0</v>
      </c>
      <c r="K29" s="50"/>
      <c r="L29" s="57"/>
      <c r="M29" s="62">
        <v>6</v>
      </c>
      <c r="N29" s="63">
        <v>6.0000000000000036</v>
      </c>
      <c r="O29" s="63">
        <v>5</v>
      </c>
      <c r="P29" s="63">
        <v>6.0000000000000036</v>
      </c>
      <c r="Q29" s="63">
        <v>4.0000000000000027</v>
      </c>
      <c r="R29" s="63">
        <v>6.0000000000000036</v>
      </c>
      <c r="S29" s="63">
        <v>0</v>
      </c>
      <c r="T29" s="64">
        <v>8</v>
      </c>
      <c r="U29" s="67" t="e">
        <f t="shared" ca="1" si="0"/>
        <v>#DIV/0!</v>
      </c>
      <c r="V29" s="67">
        <f t="shared" ca="1" si="1"/>
        <v>0</v>
      </c>
      <c r="W29" s="69">
        <f t="shared" si="2"/>
        <v>0.94736842105263153</v>
      </c>
      <c r="X29" s="69">
        <f t="shared" si="13"/>
        <v>0.63157894736842146</v>
      </c>
      <c r="Y29" s="69">
        <f t="shared" si="14"/>
        <v>0.70175438596491224</v>
      </c>
      <c r="Z29" s="69">
        <f t="shared" si="3"/>
        <v>1.052631578947369</v>
      </c>
      <c r="AA29" s="69">
        <f t="shared" si="15"/>
        <v>0.3508771929824564</v>
      </c>
      <c r="AB29" s="69">
        <f t="shared" si="4"/>
        <v>0.73684210526315841</v>
      </c>
      <c r="AC29" s="69">
        <f t="shared" si="5"/>
        <v>0</v>
      </c>
      <c r="AD29" s="70">
        <f t="shared" si="16"/>
        <v>0.84210526315789469</v>
      </c>
      <c r="AE29" s="71">
        <f t="shared" si="6"/>
        <v>0.8</v>
      </c>
      <c r="AF29" s="71">
        <f t="shared" ca="1" si="7"/>
        <v>1</v>
      </c>
      <c r="AG29" s="72">
        <f t="shared" ca="1" si="8"/>
        <v>0.8666666666666667</v>
      </c>
      <c r="AH29" s="177">
        <f t="shared" si="9"/>
        <v>5.2631578947368434</v>
      </c>
      <c r="AI29" s="185">
        <f t="shared" ca="1" si="10"/>
        <v>45.614035087719309</v>
      </c>
      <c r="AJ29" s="179" t="str">
        <f t="shared" ca="1" si="11"/>
        <v>Q2</v>
      </c>
      <c r="AK29" s="90" t="s">
        <v>342</v>
      </c>
      <c r="AL29" s="101"/>
      <c r="AM29" s="268">
        <v>210000</v>
      </c>
      <c r="AN29" s="107"/>
      <c r="AO29" s="107"/>
      <c r="AP29" s="108"/>
      <c r="AQ29" s="299"/>
      <c r="AR29" s="327">
        <f t="shared" si="12"/>
        <v>210000</v>
      </c>
      <c r="AS29" s="164"/>
      <c r="AT29" s="164"/>
      <c r="AU29" s="320"/>
      <c r="AV29" s="324"/>
      <c r="AW29" s="89"/>
    </row>
    <row r="30" spans="1:49" ht="36" customHeight="1">
      <c r="A30" s="5"/>
      <c r="B30" s="229">
        <v>26</v>
      </c>
      <c r="C30" s="6" t="s">
        <v>14</v>
      </c>
      <c r="D30" s="133" t="s">
        <v>15</v>
      </c>
      <c r="E30" s="281" t="s">
        <v>710</v>
      </c>
      <c r="F30" s="8" t="s">
        <v>641</v>
      </c>
      <c r="G30" s="8" t="s">
        <v>427</v>
      </c>
      <c r="H30" s="213">
        <v>100000</v>
      </c>
      <c r="I30" s="50">
        <v>2</v>
      </c>
      <c r="J30" s="56">
        <v>0.1</v>
      </c>
      <c r="K30" s="50"/>
      <c r="L30" s="57"/>
      <c r="M30" s="62">
        <v>6</v>
      </c>
      <c r="N30" s="63">
        <v>7</v>
      </c>
      <c r="O30" s="63">
        <v>3</v>
      </c>
      <c r="P30" s="63">
        <v>8</v>
      </c>
      <c r="Q30" s="63">
        <v>2</v>
      </c>
      <c r="R30" s="63">
        <v>6</v>
      </c>
      <c r="S30" s="63">
        <v>0</v>
      </c>
      <c r="T30" s="64">
        <v>10</v>
      </c>
      <c r="U30" s="67" t="e">
        <f t="shared" ca="1" si="0"/>
        <v>#DIV/0!</v>
      </c>
      <c r="V30" s="67">
        <f t="shared" ca="1" si="1"/>
        <v>0.1</v>
      </c>
      <c r="W30" s="69">
        <f t="shared" si="2"/>
        <v>0.94736842105263153</v>
      </c>
      <c r="X30" s="69">
        <f t="shared" si="13"/>
        <v>0.73684210526315785</v>
      </c>
      <c r="Y30" s="69">
        <f t="shared" si="14"/>
        <v>0.42105263157894735</v>
      </c>
      <c r="Z30" s="69">
        <f t="shared" si="3"/>
        <v>1.4035087719298245</v>
      </c>
      <c r="AA30" s="69">
        <f t="shared" si="15"/>
        <v>0.17543859649122806</v>
      </c>
      <c r="AB30" s="69">
        <f t="shared" si="4"/>
        <v>0.73684210526315785</v>
      </c>
      <c r="AC30" s="69">
        <f t="shared" si="5"/>
        <v>0</v>
      </c>
      <c r="AD30" s="70">
        <f t="shared" si="16"/>
        <v>1.0526315789473684</v>
      </c>
      <c r="AE30" s="71">
        <f t="shared" si="6"/>
        <v>0.8</v>
      </c>
      <c r="AF30" s="71">
        <f t="shared" ca="1" si="7"/>
        <v>0.9</v>
      </c>
      <c r="AG30" s="72">
        <f t="shared" ca="1" si="8"/>
        <v>0.83333333333333337</v>
      </c>
      <c r="AH30" s="177">
        <f t="shared" si="9"/>
        <v>5.473684210526315</v>
      </c>
      <c r="AI30" s="185">
        <f t="shared" ca="1" si="10"/>
        <v>45.614035087719301</v>
      </c>
      <c r="AJ30" s="179" t="str">
        <f t="shared" ca="1" si="11"/>
        <v>Q2</v>
      </c>
      <c r="AK30" s="90" t="s">
        <v>342</v>
      </c>
      <c r="AL30" s="100"/>
      <c r="AM30" s="269">
        <v>100000</v>
      </c>
      <c r="AN30" s="103"/>
      <c r="AO30" s="103"/>
      <c r="AP30" s="108"/>
      <c r="AQ30" s="299"/>
      <c r="AR30" s="327">
        <f t="shared" si="12"/>
        <v>100000</v>
      </c>
      <c r="AS30" s="164"/>
      <c r="AT30" s="164"/>
      <c r="AU30" s="320"/>
      <c r="AV30" s="324"/>
      <c r="AW30" s="89"/>
    </row>
    <row r="31" spans="1:49" ht="36" customHeight="1">
      <c r="A31" s="229">
        <v>43</v>
      </c>
      <c r="B31" s="229">
        <v>27</v>
      </c>
      <c r="C31" s="14" t="s">
        <v>20</v>
      </c>
      <c r="D31" s="168" t="s">
        <v>384</v>
      </c>
      <c r="E31" s="15" t="s">
        <v>521</v>
      </c>
      <c r="F31" s="30" t="s">
        <v>541</v>
      </c>
      <c r="G31" s="8"/>
      <c r="H31" s="309">
        <v>3200000</v>
      </c>
      <c r="I31" s="138">
        <v>3</v>
      </c>
      <c r="J31" s="139">
        <v>0.1</v>
      </c>
      <c r="K31" s="138"/>
      <c r="L31" s="140"/>
      <c r="M31" s="62">
        <v>8</v>
      </c>
      <c r="N31" s="63">
        <v>8</v>
      </c>
      <c r="O31" s="63">
        <v>2</v>
      </c>
      <c r="P31" s="63">
        <v>6.0000000000000036</v>
      </c>
      <c r="Q31" s="63">
        <v>4</v>
      </c>
      <c r="R31" s="63">
        <v>9</v>
      </c>
      <c r="S31" s="63">
        <v>0</v>
      </c>
      <c r="T31" s="64">
        <v>10</v>
      </c>
      <c r="U31" s="67" t="e">
        <f t="shared" ca="1" si="0"/>
        <v>#DIV/0!</v>
      </c>
      <c r="V31" s="67">
        <f t="shared" ca="1" si="1"/>
        <v>0.1</v>
      </c>
      <c r="W31" s="69">
        <f t="shared" si="2"/>
        <v>1.263157894736842</v>
      </c>
      <c r="X31" s="69">
        <f t="shared" si="13"/>
        <v>0.84210526315789469</v>
      </c>
      <c r="Y31" s="69">
        <f t="shared" si="14"/>
        <v>0.2807017543859649</v>
      </c>
      <c r="Z31" s="69">
        <f t="shared" si="3"/>
        <v>1.052631578947369</v>
      </c>
      <c r="AA31" s="69">
        <f t="shared" si="15"/>
        <v>0.35087719298245612</v>
      </c>
      <c r="AB31" s="69">
        <f t="shared" si="4"/>
        <v>1.1052631578947369</v>
      </c>
      <c r="AC31" s="69">
        <f t="shared" si="5"/>
        <v>0</v>
      </c>
      <c r="AD31" s="70">
        <f t="shared" si="16"/>
        <v>1.0526315789473684</v>
      </c>
      <c r="AE31" s="71">
        <f t="shared" si="6"/>
        <v>0.7</v>
      </c>
      <c r="AF31" s="71">
        <f t="shared" ca="1" si="7"/>
        <v>0.9</v>
      </c>
      <c r="AG31" s="72">
        <f t="shared" ca="1" si="8"/>
        <v>0.76666666666666661</v>
      </c>
      <c r="AH31" s="177">
        <f t="shared" si="9"/>
        <v>5.9473684210526319</v>
      </c>
      <c r="AI31" s="185">
        <f t="shared" ca="1" si="10"/>
        <v>45.596491228070171</v>
      </c>
      <c r="AJ31" s="179" t="str">
        <f t="shared" ca="1" si="11"/>
        <v>Q2</v>
      </c>
      <c r="AK31" s="312" t="s">
        <v>430</v>
      </c>
      <c r="AL31" s="192"/>
      <c r="AM31" s="313"/>
      <c r="AN31" s="309">
        <v>3200000</v>
      </c>
      <c r="AO31" s="98"/>
      <c r="AP31" s="188"/>
      <c r="AQ31" s="298"/>
      <c r="AR31" s="327"/>
      <c r="AS31" s="164">
        <f>AN31*(1+Efactor)</f>
        <v>3311999.9999999995</v>
      </c>
      <c r="AT31" s="164"/>
      <c r="AU31" s="320"/>
      <c r="AV31" s="324"/>
      <c r="AW31" s="89"/>
    </row>
    <row r="32" spans="1:49" ht="36" customHeight="1">
      <c r="A32" s="5"/>
      <c r="B32" s="229">
        <v>28</v>
      </c>
      <c r="C32" s="6" t="s">
        <v>20</v>
      </c>
      <c r="D32" s="133" t="s">
        <v>384</v>
      </c>
      <c r="E32" s="10" t="s">
        <v>711</v>
      </c>
      <c r="F32" s="23" t="s">
        <v>447</v>
      </c>
      <c r="G32" s="23"/>
      <c r="H32" s="215">
        <v>65000</v>
      </c>
      <c r="I32" s="51">
        <v>3</v>
      </c>
      <c r="J32" s="56">
        <v>0.1</v>
      </c>
      <c r="K32" s="50"/>
      <c r="L32" s="57"/>
      <c r="M32" s="62">
        <v>6.0000000000000036</v>
      </c>
      <c r="N32" s="63">
        <v>8</v>
      </c>
      <c r="O32" s="63">
        <v>4.0000000000000027</v>
      </c>
      <c r="P32" s="63">
        <v>8.0000000000000053</v>
      </c>
      <c r="Q32" s="63">
        <v>4.0000000000000027</v>
      </c>
      <c r="R32" s="63">
        <v>8.0000000000000053</v>
      </c>
      <c r="S32" s="63">
        <v>0</v>
      </c>
      <c r="T32" s="64">
        <v>8</v>
      </c>
      <c r="U32" s="67" t="e">
        <f t="shared" ca="1" si="0"/>
        <v>#DIV/0!</v>
      </c>
      <c r="V32" s="67">
        <f t="shared" ca="1" si="1"/>
        <v>0.1</v>
      </c>
      <c r="W32" s="69">
        <f t="shared" si="2"/>
        <v>0.94736842105263208</v>
      </c>
      <c r="X32" s="69">
        <f t="shared" si="13"/>
        <v>0.84210526315789469</v>
      </c>
      <c r="Y32" s="69">
        <f t="shared" si="14"/>
        <v>0.56140350877193024</v>
      </c>
      <c r="Z32" s="69">
        <f t="shared" si="3"/>
        <v>1.4035087719298256</v>
      </c>
      <c r="AA32" s="69">
        <f t="shared" si="15"/>
        <v>0.3508771929824564</v>
      </c>
      <c r="AB32" s="69">
        <f t="shared" si="4"/>
        <v>0.9824561403508778</v>
      </c>
      <c r="AC32" s="69">
        <f t="shared" si="5"/>
        <v>0</v>
      </c>
      <c r="AD32" s="70">
        <f t="shared" si="16"/>
        <v>0.84210526315789469</v>
      </c>
      <c r="AE32" s="71">
        <f t="shared" si="6"/>
        <v>0.7</v>
      </c>
      <c r="AF32" s="71">
        <f t="shared" ca="1" si="7"/>
        <v>0.9</v>
      </c>
      <c r="AG32" s="72">
        <f t="shared" ca="1" si="8"/>
        <v>0.76666666666666661</v>
      </c>
      <c r="AH32" s="177">
        <f t="shared" si="9"/>
        <v>5.9298245614035112</v>
      </c>
      <c r="AI32" s="185">
        <f t="shared" ca="1" si="10"/>
        <v>45.461988304093587</v>
      </c>
      <c r="AJ32" s="179" t="str">
        <f t="shared" ca="1" si="11"/>
        <v>Q2</v>
      </c>
      <c r="AK32" s="90" t="s">
        <v>662</v>
      </c>
      <c r="AL32" s="101"/>
      <c r="AM32" s="268">
        <v>65000</v>
      </c>
      <c r="AN32" s="103"/>
      <c r="AO32" s="98"/>
      <c r="AP32" s="188"/>
      <c r="AQ32" s="298"/>
      <c r="AR32" s="327">
        <f t="shared" si="12"/>
        <v>65000</v>
      </c>
      <c r="AS32" s="164"/>
      <c r="AT32" s="164"/>
      <c r="AU32" s="320"/>
      <c r="AV32" s="324"/>
      <c r="AW32" s="89"/>
    </row>
    <row r="33" spans="1:49" ht="36" customHeight="1">
      <c r="A33" s="5">
        <v>95</v>
      </c>
      <c r="B33" s="229">
        <v>29</v>
      </c>
      <c r="C33" s="14" t="s">
        <v>12</v>
      </c>
      <c r="D33" s="168" t="s">
        <v>385</v>
      </c>
      <c r="E33" s="12" t="s">
        <v>700</v>
      </c>
      <c r="F33" s="13" t="s">
        <v>712</v>
      </c>
      <c r="G33" s="113" t="s">
        <v>58</v>
      </c>
      <c r="H33" s="213">
        <v>650000</v>
      </c>
      <c r="I33" s="51">
        <v>3</v>
      </c>
      <c r="J33" s="56">
        <v>0.3</v>
      </c>
      <c r="K33" s="50"/>
      <c r="L33" s="57"/>
      <c r="M33" s="62">
        <v>7</v>
      </c>
      <c r="N33" s="63">
        <v>7</v>
      </c>
      <c r="O33" s="63">
        <v>3</v>
      </c>
      <c r="P33" s="63">
        <v>9.9999999999999982</v>
      </c>
      <c r="Q33" s="63">
        <v>5</v>
      </c>
      <c r="R33" s="63">
        <v>8.0000000000000053</v>
      </c>
      <c r="S33" s="63">
        <v>0</v>
      </c>
      <c r="T33" s="64">
        <v>9.9999999999999982</v>
      </c>
      <c r="U33" s="67" t="e">
        <f t="shared" ca="1" si="0"/>
        <v>#DIV/0!</v>
      </c>
      <c r="V33" s="67">
        <f t="shared" ca="1" si="1"/>
        <v>0.3</v>
      </c>
      <c r="W33" s="69">
        <f t="shared" si="2"/>
        <v>1.1052631578947369</v>
      </c>
      <c r="X33" s="69">
        <f t="shared" si="13"/>
        <v>0.73684210526315785</v>
      </c>
      <c r="Y33" s="69">
        <f t="shared" si="14"/>
        <v>0.42105263157894735</v>
      </c>
      <c r="Z33" s="69">
        <f t="shared" si="3"/>
        <v>1.7543859649122804</v>
      </c>
      <c r="AA33" s="69">
        <f t="shared" si="15"/>
        <v>0.43859649122807015</v>
      </c>
      <c r="AB33" s="69">
        <f t="shared" si="4"/>
        <v>0.9824561403508778</v>
      </c>
      <c r="AC33" s="69">
        <f t="shared" si="5"/>
        <v>0</v>
      </c>
      <c r="AD33" s="70">
        <f t="shared" si="16"/>
        <v>1.0526315789473681</v>
      </c>
      <c r="AE33" s="71">
        <f t="shared" si="6"/>
        <v>0.7</v>
      </c>
      <c r="AF33" s="71">
        <f t="shared" ca="1" si="7"/>
        <v>0.7</v>
      </c>
      <c r="AG33" s="72">
        <f t="shared" ca="1" si="8"/>
        <v>0.69999999999999984</v>
      </c>
      <c r="AH33" s="177">
        <f t="shared" si="9"/>
        <v>6.4912280701754383</v>
      </c>
      <c r="AI33" s="185">
        <f t="shared" ca="1" si="10"/>
        <v>45.438596491228054</v>
      </c>
      <c r="AJ33" s="179" t="str">
        <f t="shared" ca="1" si="11"/>
        <v>Q3</v>
      </c>
      <c r="AK33" s="90" t="s">
        <v>329</v>
      </c>
      <c r="AL33" s="101"/>
      <c r="AM33" s="268"/>
      <c r="AN33" s="103">
        <v>650000</v>
      </c>
      <c r="AO33" s="103"/>
      <c r="AP33" s="108"/>
      <c r="AQ33" s="299"/>
      <c r="AR33" s="327"/>
      <c r="AS33" s="164">
        <f t="shared" ref="AS33:AS54" si="17">AN33*(1+Efactor)</f>
        <v>672750</v>
      </c>
      <c r="AT33" s="164"/>
      <c r="AU33" s="320"/>
      <c r="AV33" s="324"/>
      <c r="AW33" s="89"/>
    </row>
    <row r="34" spans="1:49" ht="36" customHeight="1">
      <c r="A34" s="5"/>
      <c r="B34" s="229">
        <v>30</v>
      </c>
      <c r="C34" s="6" t="s">
        <v>14</v>
      </c>
      <c r="D34" s="133" t="s">
        <v>15</v>
      </c>
      <c r="E34" s="10" t="s">
        <v>434</v>
      </c>
      <c r="F34" s="16" t="s">
        <v>525</v>
      </c>
      <c r="G34" s="8"/>
      <c r="H34" s="108">
        <v>4321500</v>
      </c>
      <c r="I34" s="51">
        <v>3</v>
      </c>
      <c r="J34" s="56">
        <v>0.3</v>
      </c>
      <c r="K34" s="50"/>
      <c r="L34" s="57"/>
      <c r="M34" s="62">
        <v>6</v>
      </c>
      <c r="N34" s="63">
        <v>6</v>
      </c>
      <c r="O34" s="63">
        <v>7</v>
      </c>
      <c r="P34" s="63">
        <v>8</v>
      </c>
      <c r="Q34" s="63">
        <v>5</v>
      </c>
      <c r="R34" s="63">
        <v>8</v>
      </c>
      <c r="S34" s="63">
        <v>0</v>
      </c>
      <c r="T34" s="64">
        <v>10</v>
      </c>
      <c r="U34" s="67" t="e">
        <f t="shared" ca="1" si="0"/>
        <v>#DIV/0!</v>
      </c>
      <c r="V34" s="67">
        <f t="shared" ca="1" si="1"/>
        <v>0.3</v>
      </c>
      <c r="W34" s="69">
        <f t="shared" si="2"/>
        <v>0.94736842105263153</v>
      </c>
      <c r="X34" s="69">
        <f t="shared" si="13"/>
        <v>0.63157894736842102</v>
      </c>
      <c r="Y34" s="69">
        <f t="shared" si="14"/>
        <v>0.98245614035087714</v>
      </c>
      <c r="Z34" s="69">
        <f t="shared" si="3"/>
        <v>1.4035087719298245</v>
      </c>
      <c r="AA34" s="69">
        <f t="shared" si="15"/>
        <v>0.43859649122807015</v>
      </c>
      <c r="AB34" s="69">
        <f t="shared" si="4"/>
        <v>0.98245614035087714</v>
      </c>
      <c r="AC34" s="69">
        <f t="shared" si="5"/>
        <v>0</v>
      </c>
      <c r="AD34" s="70">
        <f t="shared" si="16"/>
        <v>1.0526315789473684</v>
      </c>
      <c r="AE34" s="71">
        <f t="shared" si="6"/>
        <v>0.7</v>
      </c>
      <c r="AF34" s="71">
        <f t="shared" ca="1" si="7"/>
        <v>0.7</v>
      </c>
      <c r="AG34" s="72">
        <f t="shared" ca="1" si="8"/>
        <v>0.69999999999999984</v>
      </c>
      <c r="AH34" s="177">
        <f t="shared" si="9"/>
        <v>6.4385964912280702</v>
      </c>
      <c r="AI34" s="185">
        <f t="shared" ca="1" si="10"/>
        <v>45.070175438596479</v>
      </c>
      <c r="AJ34" s="179" t="str">
        <f t="shared" ca="1" si="11"/>
        <v>Q3</v>
      </c>
      <c r="AK34" s="90" t="s">
        <v>342</v>
      </c>
      <c r="AL34" s="100"/>
      <c r="AM34" s="273"/>
      <c r="AN34" s="103">
        <v>4321500</v>
      </c>
      <c r="AO34" s="98"/>
      <c r="AP34" s="188"/>
      <c r="AQ34" s="298"/>
      <c r="AR34" s="327"/>
      <c r="AS34" s="164">
        <f t="shared" si="17"/>
        <v>4472752.5</v>
      </c>
      <c r="AT34" s="164"/>
      <c r="AU34" s="320"/>
      <c r="AV34" s="324"/>
      <c r="AW34" s="89"/>
    </row>
    <row r="35" spans="1:49" ht="36" customHeight="1">
      <c r="A35" s="5">
        <v>73</v>
      </c>
      <c r="B35" s="229">
        <v>31</v>
      </c>
      <c r="C35" s="6" t="s">
        <v>6</v>
      </c>
      <c r="D35" s="133" t="s">
        <v>7</v>
      </c>
      <c r="E35" s="7" t="s">
        <v>41</v>
      </c>
      <c r="F35" s="9" t="s">
        <v>545</v>
      </c>
      <c r="G35" s="8"/>
      <c r="H35" s="213">
        <v>242000</v>
      </c>
      <c r="I35" s="50">
        <v>2</v>
      </c>
      <c r="J35" s="56">
        <v>0.1</v>
      </c>
      <c r="K35" s="50"/>
      <c r="L35" s="57"/>
      <c r="M35" s="62">
        <v>8.0000000000000053</v>
      </c>
      <c r="N35" s="63">
        <v>8.0000000000000053</v>
      </c>
      <c r="O35" s="63">
        <v>2</v>
      </c>
      <c r="P35" s="63">
        <v>8.0000000000000053</v>
      </c>
      <c r="Q35" s="63">
        <v>5</v>
      </c>
      <c r="R35" s="63">
        <v>4</v>
      </c>
      <c r="S35" s="63">
        <v>0</v>
      </c>
      <c r="T35" s="64">
        <v>6.0000000000000036</v>
      </c>
      <c r="U35" s="67" t="e">
        <f t="shared" ca="1" si="0"/>
        <v>#DIV/0!</v>
      </c>
      <c r="V35" s="67">
        <f t="shared" ca="1" si="1"/>
        <v>0.1</v>
      </c>
      <c r="W35" s="69">
        <f t="shared" si="2"/>
        <v>1.2631578947368429</v>
      </c>
      <c r="X35" s="69">
        <f t="shared" si="13"/>
        <v>0.84210526315789525</v>
      </c>
      <c r="Y35" s="69">
        <f t="shared" si="14"/>
        <v>0.2807017543859649</v>
      </c>
      <c r="Z35" s="69">
        <f t="shared" si="3"/>
        <v>1.4035087719298256</v>
      </c>
      <c r="AA35" s="69">
        <f t="shared" si="15"/>
        <v>0.43859649122807015</v>
      </c>
      <c r="AB35" s="69">
        <f t="shared" si="4"/>
        <v>0.49122807017543857</v>
      </c>
      <c r="AC35" s="69">
        <f t="shared" si="5"/>
        <v>0</v>
      </c>
      <c r="AD35" s="70">
        <f t="shared" si="16"/>
        <v>0.63157894736842146</v>
      </c>
      <c r="AE35" s="71">
        <f t="shared" si="6"/>
        <v>0.8</v>
      </c>
      <c r="AF35" s="71">
        <f t="shared" ca="1" si="7"/>
        <v>0.9</v>
      </c>
      <c r="AG35" s="72">
        <f t="shared" ca="1" si="8"/>
        <v>0.83333333333333337</v>
      </c>
      <c r="AH35" s="177">
        <f t="shared" si="9"/>
        <v>5.3508771929824581</v>
      </c>
      <c r="AI35" s="185">
        <f t="shared" ca="1" si="10"/>
        <v>44.590643274853818</v>
      </c>
      <c r="AJ35" s="179" t="str">
        <f t="shared" ca="1" si="11"/>
        <v>Q2</v>
      </c>
      <c r="AK35" s="88" t="s">
        <v>329</v>
      </c>
      <c r="AL35" s="100"/>
      <c r="AM35" s="268"/>
      <c r="AN35" s="103">
        <v>242000</v>
      </c>
      <c r="AO35" s="103"/>
      <c r="AP35" s="108"/>
      <c r="AQ35" s="299"/>
      <c r="AR35" s="327"/>
      <c r="AS35" s="164">
        <f t="shared" si="17"/>
        <v>250469.99999999997</v>
      </c>
      <c r="AT35" s="164"/>
      <c r="AU35" s="320"/>
      <c r="AV35" s="324"/>
      <c r="AW35" s="89"/>
    </row>
    <row r="36" spans="1:49" ht="36" customHeight="1">
      <c r="A36" s="5"/>
      <c r="B36" s="229">
        <v>32</v>
      </c>
      <c r="C36" s="6" t="s">
        <v>17</v>
      </c>
      <c r="D36" s="133" t="s">
        <v>19</v>
      </c>
      <c r="E36" s="26" t="s">
        <v>500</v>
      </c>
      <c r="F36" s="27" t="s">
        <v>504</v>
      </c>
      <c r="G36" s="113"/>
      <c r="H36" s="213">
        <v>4370000</v>
      </c>
      <c r="I36" s="51">
        <v>4</v>
      </c>
      <c r="J36" s="56">
        <v>0.3</v>
      </c>
      <c r="K36" s="50"/>
      <c r="L36" s="57"/>
      <c r="M36" s="62">
        <v>8</v>
      </c>
      <c r="N36" s="63">
        <v>8</v>
      </c>
      <c r="O36" s="63">
        <v>8</v>
      </c>
      <c r="P36" s="63">
        <v>8</v>
      </c>
      <c r="Q36" s="63">
        <v>5</v>
      </c>
      <c r="R36" s="63">
        <v>8</v>
      </c>
      <c r="S36" s="63">
        <v>0</v>
      </c>
      <c r="T36" s="64">
        <v>9</v>
      </c>
      <c r="U36" s="67" t="e">
        <f t="shared" ca="1" si="0"/>
        <v>#DIV/0!</v>
      </c>
      <c r="V36" s="67">
        <f t="shared" ca="1" si="1"/>
        <v>0.3</v>
      </c>
      <c r="W36" s="69">
        <f t="shared" si="2"/>
        <v>1.263157894736842</v>
      </c>
      <c r="X36" s="69">
        <f t="shared" si="13"/>
        <v>0.84210526315789469</v>
      </c>
      <c r="Y36" s="69">
        <f t="shared" si="14"/>
        <v>1.1228070175438596</v>
      </c>
      <c r="Z36" s="69">
        <f t="shared" si="3"/>
        <v>1.4035087719298245</v>
      </c>
      <c r="AA36" s="69">
        <f t="shared" si="15"/>
        <v>0.43859649122807015</v>
      </c>
      <c r="AB36" s="69">
        <f t="shared" si="4"/>
        <v>0.98245614035087714</v>
      </c>
      <c r="AC36" s="69">
        <f t="shared" si="5"/>
        <v>0</v>
      </c>
      <c r="AD36" s="70">
        <f t="shared" si="16"/>
        <v>0.94736842105263153</v>
      </c>
      <c r="AE36" s="71">
        <f t="shared" si="6"/>
        <v>0.6</v>
      </c>
      <c r="AF36" s="71">
        <f t="shared" ca="1" si="7"/>
        <v>0.7</v>
      </c>
      <c r="AG36" s="72">
        <f t="shared" ca="1" si="8"/>
        <v>0.6333333333333333</v>
      </c>
      <c r="AH36" s="177">
        <f t="shared" si="9"/>
        <v>7</v>
      </c>
      <c r="AI36" s="185">
        <f t="shared" ca="1" si="10"/>
        <v>44.333333333333336</v>
      </c>
      <c r="AJ36" s="179" t="str">
        <f t="shared" ca="1" si="11"/>
        <v>Q3</v>
      </c>
      <c r="AK36" s="90" t="s">
        <v>342</v>
      </c>
      <c r="AL36" s="194"/>
      <c r="AM36" s="107"/>
      <c r="AN36" s="107">
        <v>610000</v>
      </c>
      <c r="AO36" s="107">
        <v>3760000</v>
      </c>
      <c r="AP36" s="199" t="s">
        <v>416</v>
      </c>
      <c r="AQ36" s="299"/>
      <c r="AR36" s="327"/>
      <c r="AS36" s="164">
        <f t="shared" si="17"/>
        <v>631350</v>
      </c>
      <c r="AT36" s="164">
        <f>AO36*(1+Efactor)^2</f>
        <v>4027805.9999999995</v>
      </c>
      <c r="AU36" s="320"/>
      <c r="AV36" s="324"/>
      <c r="AW36" s="89"/>
    </row>
    <row r="37" spans="1:49" ht="36" customHeight="1">
      <c r="A37" s="5">
        <v>109</v>
      </c>
      <c r="B37" s="229">
        <v>33</v>
      </c>
      <c r="C37" s="6" t="s">
        <v>6</v>
      </c>
      <c r="D37" s="133" t="s">
        <v>7</v>
      </c>
      <c r="E37" s="7" t="s">
        <v>694</v>
      </c>
      <c r="F37" s="9" t="s">
        <v>466</v>
      </c>
      <c r="G37" s="8"/>
      <c r="H37" s="213">
        <v>200000</v>
      </c>
      <c r="I37" s="50">
        <v>2</v>
      </c>
      <c r="J37" s="56">
        <v>0</v>
      </c>
      <c r="K37" s="50"/>
      <c r="L37" s="57"/>
      <c r="M37" s="62">
        <v>6.0000000000000036</v>
      </c>
      <c r="N37" s="63">
        <v>8</v>
      </c>
      <c r="O37" s="63">
        <v>5.0000000000000027</v>
      </c>
      <c r="P37" s="63">
        <v>4.0000000000000027</v>
      </c>
      <c r="Q37" s="63">
        <v>6.0000000000000036</v>
      </c>
      <c r="R37" s="63">
        <v>6.0000000000000036</v>
      </c>
      <c r="S37" s="63">
        <v>0</v>
      </c>
      <c r="T37" s="64">
        <v>6</v>
      </c>
      <c r="U37" s="67" t="e">
        <f t="shared" ref="U37:U54" ca="1" si="18">(L37-(YEAR(TODAY())-K37))/L37</f>
        <v>#DIV/0!</v>
      </c>
      <c r="V37" s="67">
        <f t="shared" ref="V37:V54" ca="1" si="19">IFERROR(U37,J37)</f>
        <v>0</v>
      </c>
      <c r="W37" s="69">
        <f t="shared" ref="W37:W54" si="20">M37*Weight1/(WSum)</f>
        <v>0.94736842105263208</v>
      </c>
      <c r="X37" s="69">
        <f t="shared" si="13"/>
        <v>0.84210526315789469</v>
      </c>
      <c r="Y37" s="69">
        <f t="shared" si="14"/>
        <v>0.70175438596491269</v>
      </c>
      <c r="Z37" s="69">
        <f t="shared" ref="Z37:Z54" si="21">P37*Weight4/(WSum)</f>
        <v>0.7017543859649128</v>
      </c>
      <c r="AA37" s="69">
        <f t="shared" si="15"/>
        <v>0.52631578947368451</v>
      </c>
      <c r="AB37" s="69">
        <f t="shared" ref="AB37:AB54" si="22">R37*Weight6/(WSum)</f>
        <v>0.73684210526315841</v>
      </c>
      <c r="AC37" s="69">
        <f t="shared" ref="AC37:AC54" si="23">S37*Weight7/(WSum)</f>
        <v>0</v>
      </c>
      <c r="AD37" s="70">
        <f t="shared" si="16"/>
        <v>0.63157894736842102</v>
      </c>
      <c r="AE37" s="71">
        <f t="shared" ref="AE37:AE54" si="24">-1/10*I37+1</f>
        <v>0.8</v>
      </c>
      <c r="AF37" s="71">
        <f t="shared" ref="AF37:AF54" ca="1" si="25">IF(V37&lt;0,0,-V37+1)</f>
        <v>1</v>
      </c>
      <c r="AG37" s="72">
        <f t="shared" ref="AG37:AG54" ca="1" si="26">(AE37*CondWeight+AF37*PLifeWeight)/(CondWeight+PLifeWeight)</f>
        <v>0.8666666666666667</v>
      </c>
      <c r="AH37" s="177">
        <f t="shared" ref="AH37:AH54" si="27">SUM(W37:AD37)</f>
        <v>5.0877192982456165</v>
      </c>
      <c r="AI37" s="185">
        <f t="shared" ref="AI37:AI54" ca="1" si="28">AH37*AG37*10</f>
        <v>44.093567251462019</v>
      </c>
      <c r="AJ37" s="179" t="str">
        <f t="shared" ref="AJ37:AJ54" ca="1" si="29">IF(AG37&gt;$AG$2,IF(AH37&gt;$AH$2,"Q1","Q2"),IF(AH37&gt;$AH$2,"Q3","Q4"))</f>
        <v>Q2</v>
      </c>
      <c r="AK37" s="88" t="s">
        <v>329</v>
      </c>
      <c r="AL37" s="255">
        <v>80000</v>
      </c>
      <c r="AM37" s="269"/>
      <c r="AN37" s="103">
        <v>120000</v>
      </c>
      <c r="AO37" s="107"/>
      <c r="AP37" s="108"/>
      <c r="AQ37" s="299"/>
      <c r="AR37" s="327"/>
      <c r="AS37" s="164">
        <f t="shared" si="17"/>
        <v>124199.99999999999</v>
      </c>
      <c r="AT37" s="164"/>
      <c r="AU37" s="320"/>
      <c r="AV37" s="324"/>
      <c r="AW37" s="89"/>
    </row>
    <row r="38" spans="1:49" ht="36" customHeight="1">
      <c r="A38" s="5">
        <v>75</v>
      </c>
      <c r="B38" s="229">
        <v>34</v>
      </c>
      <c r="C38" s="14" t="s">
        <v>8</v>
      </c>
      <c r="D38" s="168" t="s">
        <v>7</v>
      </c>
      <c r="E38" s="10" t="s">
        <v>45</v>
      </c>
      <c r="F38" s="9" t="s">
        <v>467</v>
      </c>
      <c r="G38" s="8"/>
      <c r="H38" s="219">
        <v>253000</v>
      </c>
      <c r="I38" s="50">
        <v>3</v>
      </c>
      <c r="J38" s="56">
        <v>0.3</v>
      </c>
      <c r="K38" s="50"/>
      <c r="L38" s="57"/>
      <c r="M38" s="62">
        <v>8</v>
      </c>
      <c r="N38" s="63">
        <v>6</v>
      </c>
      <c r="O38" s="63">
        <v>6.0000000000000036</v>
      </c>
      <c r="P38" s="63">
        <v>6.0000000000000036</v>
      </c>
      <c r="Q38" s="63">
        <v>8.0000000000000053</v>
      </c>
      <c r="R38" s="63">
        <v>6.0000000000000036</v>
      </c>
      <c r="S38" s="63">
        <v>2</v>
      </c>
      <c r="T38" s="64">
        <v>8.0000000000000053</v>
      </c>
      <c r="U38" s="67" t="e">
        <f t="shared" ca="1" si="18"/>
        <v>#DIV/0!</v>
      </c>
      <c r="V38" s="67">
        <f t="shared" ca="1" si="19"/>
        <v>0.3</v>
      </c>
      <c r="W38" s="69">
        <f t="shared" si="20"/>
        <v>1.263157894736842</v>
      </c>
      <c r="X38" s="69">
        <f t="shared" si="13"/>
        <v>0.63157894736842102</v>
      </c>
      <c r="Y38" s="69">
        <f t="shared" si="14"/>
        <v>0.84210526315789525</v>
      </c>
      <c r="Z38" s="69">
        <f t="shared" si="21"/>
        <v>1.052631578947369</v>
      </c>
      <c r="AA38" s="69">
        <f t="shared" si="15"/>
        <v>0.7017543859649128</v>
      </c>
      <c r="AB38" s="69">
        <f t="shared" si="22"/>
        <v>0.73684210526315841</v>
      </c>
      <c r="AC38" s="69">
        <f t="shared" si="23"/>
        <v>0.21052631578947367</v>
      </c>
      <c r="AD38" s="70">
        <f t="shared" si="16"/>
        <v>0.84210526315789525</v>
      </c>
      <c r="AE38" s="71">
        <f t="shared" si="24"/>
        <v>0.7</v>
      </c>
      <c r="AF38" s="71">
        <f t="shared" ca="1" si="25"/>
        <v>0.7</v>
      </c>
      <c r="AG38" s="72">
        <f t="shared" ca="1" si="26"/>
        <v>0.69999999999999984</v>
      </c>
      <c r="AH38" s="177">
        <f t="shared" si="27"/>
        <v>6.2807017543859676</v>
      </c>
      <c r="AI38" s="185">
        <f t="shared" ca="1" si="28"/>
        <v>43.96491228070176</v>
      </c>
      <c r="AJ38" s="179" t="str">
        <f t="shared" ca="1" si="29"/>
        <v>Q3</v>
      </c>
      <c r="AK38" s="88" t="s">
        <v>329</v>
      </c>
      <c r="AL38" s="256">
        <v>120000</v>
      </c>
      <c r="AM38" s="103"/>
      <c r="AN38" s="103">
        <v>133000</v>
      </c>
      <c r="AO38" s="103" t="s">
        <v>416</v>
      </c>
      <c r="AP38" s="108"/>
      <c r="AQ38" s="299"/>
      <c r="AR38" s="327"/>
      <c r="AS38" s="164">
        <f t="shared" si="17"/>
        <v>137655</v>
      </c>
      <c r="AT38" s="164"/>
      <c r="AU38" s="320"/>
      <c r="AV38" s="324"/>
      <c r="AW38" s="89"/>
    </row>
    <row r="39" spans="1:49" ht="36" customHeight="1">
      <c r="A39" s="5">
        <v>91</v>
      </c>
      <c r="B39" s="229">
        <v>35</v>
      </c>
      <c r="C39" s="6" t="s">
        <v>12</v>
      </c>
      <c r="D39" s="133" t="s">
        <v>7</v>
      </c>
      <c r="E39" s="7" t="s">
        <v>746</v>
      </c>
      <c r="F39" s="8" t="s">
        <v>456</v>
      </c>
      <c r="G39" s="20" t="s">
        <v>54</v>
      </c>
      <c r="H39" s="213">
        <v>80000</v>
      </c>
      <c r="I39" s="50">
        <v>3</v>
      </c>
      <c r="J39" s="56">
        <v>0.1</v>
      </c>
      <c r="K39" s="50"/>
      <c r="L39" s="57"/>
      <c r="M39" s="62">
        <v>5</v>
      </c>
      <c r="N39" s="63">
        <v>5.0000000000000027</v>
      </c>
      <c r="O39" s="63">
        <v>9.0000000000000018</v>
      </c>
      <c r="P39" s="63">
        <v>4.0000000000000027</v>
      </c>
      <c r="Q39" s="63">
        <v>5</v>
      </c>
      <c r="R39" s="63">
        <v>6.0000000000000036</v>
      </c>
      <c r="S39" s="63">
        <v>6</v>
      </c>
      <c r="T39" s="64">
        <v>6.0000000000000036</v>
      </c>
      <c r="U39" s="67" t="e">
        <f t="shared" ca="1" si="18"/>
        <v>#DIV/0!</v>
      </c>
      <c r="V39" s="67">
        <f t="shared" ca="1" si="19"/>
        <v>0.1</v>
      </c>
      <c r="W39" s="69">
        <f t="shared" si="20"/>
        <v>0.78947368421052633</v>
      </c>
      <c r="X39" s="69">
        <f t="shared" si="13"/>
        <v>0.52631578947368451</v>
      </c>
      <c r="Y39" s="69">
        <f t="shared" si="14"/>
        <v>1.2631578947368423</v>
      </c>
      <c r="Z39" s="69">
        <f t="shared" si="21"/>
        <v>0.7017543859649128</v>
      </c>
      <c r="AA39" s="69">
        <f t="shared" si="15"/>
        <v>0.43859649122807015</v>
      </c>
      <c r="AB39" s="69">
        <f t="shared" si="22"/>
        <v>0.73684210526315841</v>
      </c>
      <c r="AC39" s="69">
        <f t="shared" si="23"/>
        <v>0.63157894736842102</v>
      </c>
      <c r="AD39" s="70">
        <f t="shared" si="16"/>
        <v>0.63157894736842146</v>
      </c>
      <c r="AE39" s="71">
        <f t="shared" si="24"/>
        <v>0.7</v>
      </c>
      <c r="AF39" s="71">
        <f t="shared" ca="1" si="25"/>
        <v>0.9</v>
      </c>
      <c r="AG39" s="72">
        <f t="shared" ca="1" si="26"/>
        <v>0.76666666666666661</v>
      </c>
      <c r="AH39" s="177">
        <f t="shared" si="27"/>
        <v>5.7192982456140369</v>
      </c>
      <c r="AI39" s="185">
        <f t="shared" ca="1" si="28"/>
        <v>43.847953216374279</v>
      </c>
      <c r="AJ39" s="179" t="str">
        <f t="shared" ca="1" si="29"/>
        <v>Q2</v>
      </c>
      <c r="AK39" s="88" t="s">
        <v>329</v>
      </c>
      <c r="AL39" s="100"/>
      <c r="AM39" s="269"/>
      <c r="AN39" s="103">
        <v>80000</v>
      </c>
      <c r="AO39" s="103"/>
      <c r="AP39" s="108"/>
      <c r="AQ39" s="299"/>
      <c r="AR39" s="327"/>
      <c r="AS39" s="164">
        <f t="shared" si="17"/>
        <v>82800</v>
      </c>
      <c r="AT39" s="164"/>
      <c r="AU39" s="320"/>
      <c r="AV39" s="324"/>
      <c r="AW39" s="89"/>
    </row>
    <row r="40" spans="1:49" ht="36" customHeight="1">
      <c r="A40" s="5">
        <v>92</v>
      </c>
      <c r="B40" s="229">
        <v>36</v>
      </c>
      <c r="C40" s="6" t="s">
        <v>6</v>
      </c>
      <c r="D40" s="133" t="s">
        <v>7</v>
      </c>
      <c r="E40" s="7" t="s">
        <v>55</v>
      </c>
      <c r="F40" s="9" t="s">
        <v>468</v>
      </c>
      <c r="G40" s="8"/>
      <c r="H40" s="213">
        <v>495000</v>
      </c>
      <c r="I40" s="50">
        <v>3</v>
      </c>
      <c r="J40" s="56">
        <v>0</v>
      </c>
      <c r="K40" s="50"/>
      <c r="L40" s="57"/>
      <c r="M40" s="62">
        <v>6.0000000000000036</v>
      </c>
      <c r="N40" s="63">
        <v>8.0000000000000053</v>
      </c>
      <c r="O40" s="63">
        <v>5.0000000000000027</v>
      </c>
      <c r="P40" s="63">
        <v>4</v>
      </c>
      <c r="Q40" s="63">
        <v>2</v>
      </c>
      <c r="R40" s="63">
        <v>6.0000000000000036</v>
      </c>
      <c r="S40" s="63">
        <v>5</v>
      </c>
      <c r="T40" s="64">
        <v>8.0000000000000053</v>
      </c>
      <c r="U40" s="67" t="e">
        <f t="shared" ca="1" si="18"/>
        <v>#DIV/0!</v>
      </c>
      <c r="V40" s="67">
        <f t="shared" ca="1" si="19"/>
        <v>0</v>
      </c>
      <c r="W40" s="69">
        <f t="shared" si="20"/>
        <v>0.94736842105263208</v>
      </c>
      <c r="X40" s="69">
        <f t="shared" si="13"/>
        <v>0.84210526315789525</v>
      </c>
      <c r="Y40" s="69">
        <f t="shared" si="14"/>
        <v>0.70175438596491269</v>
      </c>
      <c r="Z40" s="69">
        <f t="shared" si="21"/>
        <v>0.70175438596491224</v>
      </c>
      <c r="AA40" s="69">
        <f t="shared" si="15"/>
        <v>0.17543859649122806</v>
      </c>
      <c r="AB40" s="69">
        <f t="shared" si="22"/>
        <v>0.73684210526315841</v>
      </c>
      <c r="AC40" s="69">
        <f t="shared" si="23"/>
        <v>0.52631578947368418</v>
      </c>
      <c r="AD40" s="70">
        <f t="shared" si="16"/>
        <v>0.84210526315789525</v>
      </c>
      <c r="AE40" s="71">
        <f t="shared" si="24"/>
        <v>0.7</v>
      </c>
      <c r="AF40" s="71">
        <f t="shared" ca="1" si="25"/>
        <v>1</v>
      </c>
      <c r="AG40" s="72">
        <f t="shared" ca="1" si="26"/>
        <v>0.79999999999999993</v>
      </c>
      <c r="AH40" s="177">
        <f t="shared" si="27"/>
        <v>5.4736842105263186</v>
      </c>
      <c r="AI40" s="185">
        <f t="shared" ca="1" si="28"/>
        <v>43.789473684210549</v>
      </c>
      <c r="AJ40" s="179" t="str">
        <f t="shared" ca="1" si="29"/>
        <v>Q2</v>
      </c>
      <c r="AK40" s="88" t="s">
        <v>329</v>
      </c>
      <c r="AL40" s="100"/>
      <c r="AM40" s="268"/>
      <c r="AN40" s="103">
        <v>388000</v>
      </c>
      <c r="AO40" s="103">
        <v>107000</v>
      </c>
      <c r="AP40" s="108" t="s">
        <v>416</v>
      </c>
      <c r="AQ40" s="299"/>
      <c r="AR40" s="327"/>
      <c r="AS40" s="164">
        <f t="shared" si="17"/>
        <v>401579.99999999994</v>
      </c>
      <c r="AT40" s="164">
        <f>AO40*(1+Efactor)^2</f>
        <v>114621.07499999998</v>
      </c>
      <c r="AU40" s="320"/>
      <c r="AV40" s="324"/>
      <c r="AW40" s="89"/>
    </row>
    <row r="41" spans="1:49" ht="36" customHeight="1">
      <c r="A41" s="5"/>
      <c r="B41" s="229">
        <v>37</v>
      </c>
      <c r="C41" s="6" t="s">
        <v>20</v>
      </c>
      <c r="D41" s="133" t="s">
        <v>385</v>
      </c>
      <c r="E41" s="21" t="s">
        <v>506</v>
      </c>
      <c r="F41" s="17" t="s">
        <v>622</v>
      </c>
      <c r="G41" s="20"/>
      <c r="H41" s="215">
        <v>280000</v>
      </c>
      <c r="I41" s="51">
        <v>2</v>
      </c>
      <c r="J41" s="56">
        <v>0.2</v>
      </c>
      <c r="K41" s="50"/>
      <c r="L41" s="57"/>
      <c r="M41" s="62">
        <v>6</v>
      </c>
      <c r="N41" s="63">
        <v>7</v>
      </c>
      <c r="O41" s="63">
        <v>6</v>
      </c>
      <c r="P41" s="63">
        <v>7</v>
      </c>
      <c r="Q41" s="63">
        <v>3</v>
      </c>
      <c r="R41" s="63">
        <v>5</v>
      </c>
      <c r="S41" s="63">
        <v>0</v>
      </c>
      <c r="T41" s="64">
        <v>8</v>
      </c>
      <c r="U41" s="67" t="e">
        <f t="shared" ca="1" si="18"/>
        <v>#DIV/0!</v>
      </c>
      <c r="V41" s="67">
        <f t="shared" ca="1" si="19"/>
        <v>0.2</v>
      </c>
      <c r="W41" s="69">
        <f t="shared" si="20"/>
        <v>0.94736842105263153</v>
      </c>
      <c r="X41" s="69">
        <f t="shared" si="13"/>
        <v>0.73684210526315785</v>
      </c>
      <c r="Y41" s="69">
        <f t="shared" si="14"/>
        <v>0.84210526315789469</v>
      </c>
      <c r="Z41" s="69">
        <f t="shared" si="21"/>
        <v>1.2280701754385965</v>
      </c>
      <c r="AA41" s="69">
        <f t="shared" si="15"/>
        <v>0.26315789473684209</v>
      </c>
      <c r="AB41" s="69">
        <f t="shared" si="22"/>
        <v>0.61403508771929827</v>
      </c>
      <c r="AC41" s="69">
        <f t="shared" si="23"/>
        <v>0</v>
      </c>
      <c r="AD41" s="70">
        <f t="shared" si="16"/>
        <v>0.84210526315789469</v>
      </c>
      <c r="AE41" s="71">
        <f t="shared" si="24"/>
        <v>0.8</v>
      </c>
      <c r="AF41" s="71">
        <f t="shared" ca="1" si="25"/>
        <v>0.8</v>
      </c>
      <c r="AG41" s="72">
        <f t="shared" ca="1" si="26"/>
        <v>0.80000000000000016</v>
      </c>
      <c r="AH41" s="177">
        <f t="shared" si="27"/>
        <v>5.4736842105263159</v>
      </c>
      <c r="AI41" s="185">
        <f t="shared" ca="1" si="28"/>
        <v>43.789473684210535</v>
      </c>
      <c r="AJ41" s="179" t="str">
        <f t="shared" ca="1" si="29"/>
        <v>Q2</v>
      </c>
      <c r="AK41" s="90" t="s">
        <v>329</v>
      </c>
      <c r="AL41" s="195"/>
      <c r="AM41" s="103"/>
      <c r="AN41" s="103">
        <v>280000</v>
      </c>
      <c r="AO41" s="103"/>
      <c r="AP41" s="108"/>
      <c r="AQ41" s="299"/>
      <c r="AR41" s="327"/>
      <c r="AS41" s="164">
        <f t="shared" si="17"/>
        <v>289800</v>
      </c>
      <c r="AT41" s="164"/>
      <c r="AU41" s="320"/>
      <c r="AV41" s="324"/>
      <c r="AW41" s="89"/>
    </row>
    <row r="42" spans="1:49" ht="36" customHeight="1">
      <c r="A42" s="5"/>
      <c r="B42" s="229">
        <v>38</v>
      </c>
      <c r="C42" s="6" t="s">
        <v>17</v>
      </c>
      <c r="D42" s="133" t="s">
        <v>19</v>
      </c>
      <c r="E42" s="104" t="s">
        <v>636</v>
      </c>
      <c r="F42" s="25" t="s">
        <v>542</v>
      </c>
      <c r="G42" s="24" t="s">
        <v>425</v>
      </c>
      <c r="H42" s="215">
        <v>110000</v>
      </c>
      <c r="I42" s="51">
        <v>3</v>
      </c>
      <c r="J42" s="56">
        <v>0.1</v>
      </c>
      <c r="K42" s="50"/>
      <c r="L42" s="57"/>
      <c r="M42" s="62">
        <v>6.0000000000000036</v>
      </c>
      <c r="N42" s="63">
        <v>8.0000000000000053</v>
      </c>
      <c r="O42" s="63">
        <v>6.0000000000000036</v>
      </c>
      <c r="P42" s="63">
        <v>8.0000000000000053</v>
      </c>
      <c r="Q42" s="63">
        <v>1</v>
      </c>
      <c r="R42" s="63">
        <v>6.0000000000000036</v>
      </c>
      <c r="S42" s="63">
        <v>0</v>
      </c>
      <c r="T42" s="64">
        <v>8</v>
      </c>
      <c r="U42" s="67" t="e">
        <f t="shared" ca="1" si="18"/>
        <v>#DIV/0!</v>
      </c>
      <c r="V42" s="67">
        <f t="shared" ca="1" si="19"/>
        <v>0.1</v>
      </c>
      <c r="W42" s="69">
        <f t="shared" si="20"/>
        <v>0.94736842105263208</v>
      </c>
      <c r="X42" s="69">
        <f t="shared" si="13"/>
        <v>0.84210526315789525</v>
      </c>
      <c r="Y42" s="69">
        <f t="shared" si="14"/>
        <v>0.84210526315789525</v>
      </c>
      <c r="Z42" s="69">
        <f t="shared" si="21"/>
        <v>1.4035087719298256</v>
      </c>
      <c r="AA42" s="69">
        <f t="shared" si="15"/>
        <v>8.771929824561403E-2</v>
      </c>
      <c r="AB42" s="69">
        <f t="shared" si="22"/>
        <v>0.73684210526315841</v>
      </c>
      <c r="AC42" s="69">
        <f t="shared" si="23"/>
        <v>0</v>
      </c>
      <c r="AD42" s="70">
        <f t="shared" si="16"/>
        <v>0.84210526315789469</v>
      </c>
      <c r="AE42" s="71">
        <f t="shared" si="24"/>
        <v>0.7</v>
      </c>
      <c r="AF42" s="71">
        <f t="shared" ca="1" si="25"/>
        <v>0.9</v>
      </c>
      <c r="AG42" s="72">
        <f t="shared" ca="1" si="26"/>
        <v>0.76666666666666661</v>
      </c>
      <c r="AH42" s="177">
        <f t="shared" si="27"/>
        <v>5.7017543859649154</v>
      </c>
      <c r="AI42" s="185">
        <f t="shared" ca="1" si="28"/>
        <v>43.713450292397681</v>
      </c>
      <c r="AJ42" s="179" t="str">
        <f t="shared" ca="1" si="29"/>
        <v>Q2</v>
      </c>
      <c r="AK42" s="90" t="s">
        <v>342</v>
      </c>
      <c r="AL42" s="194"/>
      <c r="AM42" s="109"/>
      <c r="AN42" s="103">
        <v>110000</v>
      </c>
      <c r="AO42" s="103"/>
      <c r="AP42" s="108"/>
      <c r="AQ42" s="299"/>
      <c r="AR42" s="327"/>
      <c r="AS42" s="164">
        <f t="shared" si="17"/>
        <v>113849.99999999999</v>
      </c>
      <c r="AT42" s="164"/>
      <c r="AU42" s="320"/>
      <c r="AV42" s="324"/>
      <c r="AW42" s="89"/>
    </row>
    <row r="43" spans="1:49" ht="36" customHeight="1">
      <c r="A43" s="5">
        <v>133</v>
      </c>
      <c r="B43" s="229">
        <v>39</v>
      </c>
      <c r="C43" s="14" t="s">
        <v>8</v>
      </c>
      <c r="D43" s="168" t="s">
        <v>7</v>
      </c>
      <c r="E43" s="7" t="s">
        <v>81</v>
      </c>
      <c r="F43" s="8" t="s">
        <v>670</v>
      </c>
      <c r="G43" s="8" t="s">
        <v>82</v>
      </c>
      <c r="H43" s="216">
        <v>425000</v>
      </c>
      <c r="I43" s="51">
        <v>3</v>
      </c>
      <c r="J43" s="56">
        <v>0.1</v>
      </c>
      <c r="K43" s="50"/>
      <c r="L43" s="57"/>
      <c r="M43" s="62">
        <v>7</v>
      </c>
      <c r="N43" s="63">
        <v>6.0000000000000036</v>
      </c>
      <c r="O43" s="63">
        <v>6.0000000000000036</v>
      </c>
      <c r="P43" s="63">
        <v>5</v>
      </c>
      <c r="Q43" s="63">
        <v>4.0000000000000027</v>
      </c>
      <c r="R43" s="63">
        <v>6.0000000000000036</v>
      </c>
      <c r="S43" s="63">
        <v>4</v>
      </c>
      <c r="T43" s="64">
        <v>7</v>
      </c>
      <c r="U43" s="67" t="e">
        <f t="shared" ca="1" si="18"/>
        <v>#DIV/0!</v>
      </c>
      <c r="V43" s="67">
        <f t="shared" ca="1" si="19"/>
        <v>0.1</v>
      </c>
      <c r="W43" s="69">
        <f t="shared" si="20"/>
        <v>1.1052631578947369</v>
      </c>
      <c r="X43" s="69">
        <f t="shared" si="13"/>
        <v>0.63157894736842146</v>
      </c>
      <c r="Y43" s="69">
        <f t="shared" si="14"/>
        <v>0.84210526315789525</v>
      </c>
      <c r="Z43" s="69">
        <f t="shared" si="21"/>
        <v>0.8771929824561403</v>
      </c>
      <c r="AA43" s="69">
        <f t="shared" si="15"/>
        <v>0.3508771929824564</v>
      </c>
      <c r="AB43" s="69">
        <f t="shared" si="22"/>
        <v>0.73684210526315841</v>
      </c>
      <c r="AC43" s="69">
        <f t="shared" si="23"/>
        <v>0.42105263157894735</v>
      </c>
      <c r="AD43" s="70">
        <f t="shared" si="16"/>
        <v>0.73684210526315785</v>
      </c>
      <c r="AE43" s="71">
        <f t="shared" si="24"/>
        <v>0.7</v>
      </c>
      <c r="AF43" s="71">
        <f t="shared" ca="1" si="25"/>
        <v>0.9</v>
      </c>
      <c r="AG43" s="72">
        <f t="shared" ca="1" si="26"/>
        <v>0.76666666666666661</v>
      </c>
      <c r="AH43" s="177">
        <f t="shared" si="27"/>
        <v>5.7017543859649127</v>
      </c>
      <c r="AI43" s="185">
        <f t="shared" ca="1" si="28"/>
        <v>43.71345029239766</v>
      </c>
      <c r="AJ43" s="179" t="str">
        <f t="shared" ca="1" si="29"/>
        <v>Q2</v>
      </c>
      <c r="AK43" s="90" t="s">
        <v>329</v>
      </c>
      <c r="AL43" s="254" t="s">
        <v>416</v>
      </c>
      <c r="AM43" s="103"/>
      <c r="AN43" s="103">
        <v>270000</v>
      </c>
      <c r="AO43" s="103">
        <v>155000</v>
      </c>
      <c r="AP43" s="108" t="s">
        <v>416</v>
      </c>
      <c r="AQ43" s="299"/>
      <c r="AR43" s="327"/>
      <c r="AS43" s="164">
        <f t="shared" si="17"/>
        <v>279450</v>
      </c>
      <c r="AT43" s="164">
        <f>AO43*(1+Efactor)^2</f>
        <v>166039.87499999997</v>
      </c>
      <c r="AU43" s="320"/>
      <c r="AV43" s="324"/>
      <c r="AW43" s="89"/>
    </row>
    <row r="44" spans="1:49" ht="36" customHeight="1">
      <c r="A44" s="5">
        <v>96</v>
      </c>
      <c r="B44" s="229">
        <v>40</v>
      </c>
      <c r="C44" s="6" t="s">
        <v>18</v>
      </c>
      <c r="D44" s="133" t="s">
        <v>7</v>
      </c>
      <c r="E44" s="26" t="s">
        <v>59</v>
      </c>
      <c r="F44" s="27" t="s">
        <v>592</v>
      </c>
      <c r="G44" s="20" t="s">
        <v>60</v>
      </c>
      <c r="H44" s="215">
        <v>160000</v>
      </c>
      <c r="I44" s="51">
        <v>2</v>
      </c>
      <c r="J44" s="56">
        <v>0.1</v>
      </c>
      <c r="K44" s="50"/>
      <c r="L44" s="57"/>
      <c r="M44" s="62">
        <v>6.0000000000000036</v>
      </c>
      <c r="N44" s="63">
        <v>8</v>
      </c>
      <c r="O44" s="63">
        <v>4</v>
      </c>
      <c r="P44" s="63">
        <v>4.0000000000000027</v>
      </c>
      <c r="Q44" s="63">
        <v>2</v>
      </c>
      <c r="R44" s="63">
        <v>6.0000000000000036</v>
      </c>
      <c r="S44" s="63">
        <v>4</v>
      </c>
      <c r="T44" s="64">
        <v>8.0000000000000053</v>
      </c>
      <c r="U44" s="67" t="e">
        <f t="shared" ca="1" si="18"/>
        <v>#DIV/0!</v>
      </c>
      <c r="V44" s="67">
        <f t="shared" ca="1" si="19"/>
        <v>0.1</v>
      </c>
      <c r="W44" s="69">
        <f t="shared" si="20"/>
        <v>0.94736842105263208</v>
      </c>
      <c r="X44" s="69">
        <f t="shared" si="13"/>
        <v>0.84210526315789469</v>
      </c>
      <c r="Y44" s="69">
        <f t="shared" si="14"/>
        <v>0.56140350877192979</v>
      </c>
      <c r="Z44" s="69">
        <f t="shared" si="21"/>
        <v>0.7017543859649128</v>
      </c>
      <c r="AA44" s="69">
        <f t="shared" si="15"/>
        <v>0.17543859649122806</v>
      </c>
      <c r="AB44" s="69">
        <f t="shared" si="22"/>
        <v>0.73684210526315841</v>
      </c>
      <c r="AC44" s="69">
        <f t="shared" si="23"/>
        <v>0.42105263157894735</v>
      </c>
      <c r="AD44" s="70">
        <f t="shared" si="16"/>
        <v>0.84210526315789525</v>
      </c>
      <c r="AE44" s="71">
        <f t="shared" si="24"/>
        <v>0.8</v>
      </c>
      <c r="AF44" s="71">
        <f t="shared" ca="1" si="25"/>
        <v>0.9</v>
      </c>
      <c r="AG44" s="72">
        <f t="shared" ca="1" si="26"/>
        <v>0.83333333333333337</v>
      </c>
      <c r="AH44" s="177">
        <f t="shared" si="27"/>
        <v>5.2280701754385985</v>
      </c>
      <c r="AI44" s="185">
        <f t="shared" ca="1" si="28"/>
        <v>43.567251461988327</v>
      </c>
      <c r="AJ44" s="179" t="str">
        <f t="shared" ca="1" si="29"/>
        <v>Q2</v>
      </c>
      <c r="AK44" s="90" t="s">
        <v>329</v>
      </c>
      <c r="AL44" s="194"/>
      <c r="AM44" s="103"/>
      <c r="AN44" s="103">
        <v>160000</v>
      </c>
      <c r="AO44" s="103"/>
      <c r="AP44" s="108"/>
      <c r="AQ44" s="299"/>
      <c r="AR44" s="327"/>
      <c r="AS44" s="164">
        <f t="shared" si="17"/>
        <v>165600</v>
      </c>
      <c r="AT44" s="164"/>
      <c r="AU44" s="320"/>
      <c r="AV44" s="324"/>
      <c r="AW44" s="89"/>
    </row>
    <row r="45" spans="1:49" ht="36" customHeight="1">
      <c r="A45" s="5">
        <v>114</v>
      </c>
      <c r="B45" s="229">
        <v>41</v>
      </c>
      <c r="C45" s="6" t="s">
        <v>6</v>
      </c>
      <c r="D45" s="133" t="s">
        <v>7</v>
      </c>
      <c r="E45" s="7" t="s">
        <v>66</v>
      </c>
      <c r="F45" s="9" t="s">
        <v>512</v>
      </c>
      <c r="G45" s="9" t="s">
        <v>511</v>
      </c>
      <c r="H45" s="213">
        <v>400000</v>
      </c>
      <c r="I45" s="50">
        <v>3</v>
      </c>
      <c r="J45" s="56">
        <v>0</v>
      </c>
      <c r="K45" s="50"/>
      <c r="L45" s="57"/>
      <c r="M45" s="62">
        <v>6.0000000000000036</v>
      </c>
      <c r="N45" s="63">
        <v>8.0000000000000053</v>
      </c>
      <c r="O45" s="63">
        <v>4</v>
      </c>
      <c r="P45" s="63">
        <v>4.0000000000000027</v>
      </c>
      <c r="Q45" s="63">
        <v>6.0000000000000036</v>
      </c>
      <c r="R45" s="63">
        <v>4</v>
      </c>
      <c r="S45" s="63">
        <v>5</v>
      </c>
      <c r="T45" s="64">
        <v>8</v>
      </c>
      <c r="U45" s="67" t="e">
        <f t="shared" ca="1" si="18"/>
        <v>#DIV/0!</v>
      </c>
      <c r="V45" s="67">
        <f t="shared" ca="1" si="19"/>
        <v>0</v>
      </c>
      <c r="W45" s="69">
        <f t="shared" si="20"/>
        <v>0.94736842105263208</v>
      </c>
      <c r="X45" s="69">
        <f t="shared" si="13"/>
        <v>0.84210526315789525</v>
      </c>
      <c r="Y45" s="69">
        <f t="shared" si="14"/>
        <v>0.56140350877192979</v>
      </c>
      <c r="Z45" s="69">
        <f t="shared" si="21"/>
        <v>0.7017543859649128</v>
      </c>
      <c r="AA45" s="69">
        <f t="shared" si="15"/>
        <v>0.52631578947368451</v>
      </c>
      <c r="AB45" s="69">
        <f t="shared" si="22"/>
        <v>0.49122807017543857</v>
      </c>
      <c r="AC45" s="69">
        <f t="shared" si="23"/>
        <v>0.52631578947368418</v>
      </c>
      <c r="AD45" s="70">
        <f t="shared" si="16"/>
        <v>0.84210526315789469</v>
      </c>
      <c r="AE45" s="71">
        <f t="shared" si="24"/>
        <v>0.7</v>
      </c>
      <c r="AF45" s="71">
        <f t="shared" ca="1" si="25"/>
        <v>1</v>
      </c>
      <c r="AG45" s="72">
        <f t="shared" ca="1" si="26"/>
        <v>0.79999999999999993</v>
      </c>
      <c r="AH45" s="177">
        <f t="shared" si="27"/>
        <v>5.438596491228072</v>
      </c>
      <c r="AI45" s="185">
        <f t="shared" ca="1" si="28"/>
        <v>43.508771929824576</v>
      </c>
      <c r="AJ45" s="179" t="str">
        <f t="shared" ca="1" si="29"/>
        <v>Q2</v>
      </c>
      <c r="AK45" s="88" t="s">
        <v>329</v>
      </c>
      <c r="AL45" s="100"/>
      <c r="AM45" s="269"/>
      <c r="AN45" s="103">
        <v>400000</v>
      </c>
      <c r="AO45" s="103"/>
      <c r="AP45" s="108"/>
      <c r="AQ45" s="299"/>
      <c r="AR45" s="327"/>
      <c r="AS45" s="164">
        <f t="shared" si="17"/>
        <v>413999.99999999994</v>
      </c>
      <c r="AT45" s="164"/>
      <c r="AU45" s="320"/>
      <c r="AV45" s="324"/>
      <c r="AW45" s="89"/>
    </row>
    <row r="46" spans="1:49" s="124" customFormat="1" ht="36" customHeight="1">
      <c r="A46" s="5">
        <v>47</v>
      </c>
      <c r="B46" s="229">
        <v>42</v>
      </c>
      <c r="C46" s="14" t="s">
        <v>8</v>
      </c>
      <c r="D46" s="168" t="s">
        <v>7</v>
      </c>
      <c r="E46" s="7" t="s">
        <v>30</v>
      </c>
      <c r="F46" s="17" t="s">
        <v>555</v>
      </c>
      <c r="G46" s="17" t="s">
        <v>31</v>
      </c>
      <c r="H46" s="213">
        <v>1000000</v>
      </c>
      <c r="I46" s="50">
        <v>3</v>
      </c>
      <c r="J46" s="156">
        <v>0.1</v>
      </c>
      <c r="K46" s="50"/>
      <c r="L46" s="157"/>
      <c r="M46" s="158">
        <v>6</v>
      </c>
      <c r="N46" s="159">
        <v>5</v>
      </c>
      <c r="O46" s="159">
        <v>4</v>
      </c>
      <c r="P46" s="159">
        <v>4</v>
      </c>
      <c r="Q46" s="159">
        <v>8</v>
      </c>
      <c r="R46" s="159">
        <v>5</v>
      </c>
      <c r="S46" s="159">
        <v>6</v>
      </c>
      <c r="T46" s="160">
        <v>8</v>
      </c>
      <c r="U46" s="245" t="e">
        <f t="shared" ca="1" si="18"/>
        <v>#DIV/0!</v>
      </c>
      <c r="V46" s="245">
        <f t="shared" ca="1" si="19"/>
        <v>0.1</v>
      </c>
      <c r="W46" s="241">
        <f t="shared" si="20"/>
        <v>0.94736842105263153</v>
      </c>
      <c r="X46" s="241">
        <f t="shared" si="13"/>
        <v>0.52631578947368418</v>
      </c>
      <c r="Y46" s="241">
        <f t="shared" si="14"/>
        <v>0.56140350877192979</v>
      </c>
      <c r="Z46" s="241">
        <f t="shared" si="21"/>
        <v>0.70175438596491224</v>
      </c>
      <c r="AA46" s="241">
        <f t="shared" si="15"/>
        <v>0.70175438596491224</v>
      </c>
      <c r="AB46" s="241">
        <f t="shared" si="22"/>
        <v>0.61403508771929827</v>
      </c>
      <c r="AC46" s="241">
        <f t="shared" si="23"/>
        <v>0.63157894736842102</v>
      </c>
      <c r="AD46" s="242">
        <f t="shared" si="16"/>
        <v>0.84210526315789469</v>
      </c>
      <c r="AE46" s="243">
        <f t="shared" si="24"/>
        <v>0.7</v>
      </c>
      <c r="AF46" s="243">
        <f t="shared" ca="1" si="25"/>
        <v>0.9</v>
      </c>
      <c r="AG46" s="202">
        <f t="shared" ca="1" si="26"/>
        <v>0.76666666666666661</v>
      </c>
      <c r="AH46" s="246">
        <f t="shared" si="27"/>
        <v>5.5263157894736841</v>
      </c>
      <c r="AI46" s="185">
        <f t="shared" ca="1" si="28"/>
        <v>42.368421052631575</v>
      </c>
      <c r="AJ46" s="179" t="str">
        <f t="shared" ca="1" si="29"/>
        <v>Q2</v>
      </c>
      <c r="AK46" s="88" t="s">
        <v>338</v>
      </c>
      <c r="AL46" s="192"/>
      <c r="AM46" s="103">
        <v>500000</v>
      </c>
      <c r="AN46" s="103">
        <v>525000</v>
      </c>
      <c r="AO46" s="103"/>
      <c r="AP46" s="108"/>
      <c r="AQ46" s="299"/>
      <c r="AR46" s="327">
        <f t="shared" si="12"/>
        <v>500000</v>
      </c>
      <c r="AS46" s="164">
        <f t="shared" si="17"/>
        <v>543375</v>
      </c>
      <c r="AT46" s="164"/>
      <c r="AU46" s="320"/>
      <c r="AV46" s="324"/>
      <c r="AW46" s="89"/>
    </row>
    <row r="47" spans="1:49" ht="36" customHeight="1">
      <c r="A47" s="5"/>
      <c r="B47" s="229">
        <v>43</v>
      </c>
      <c r="C47" s="6" t="s">
        <v>20</v>
      </c>
      <c r="D47" s="133" t="s">
        <v>384</v>
      </c>
      <c r="E47" s="32" t="s">
        <v>714</v>
      </c>
      <c r="F47" s="23" t="s">
        <v>715</v>
      </c>
      <c r="G47" s="13"/>
      <c r="H47" s="215">
        <v>248000</v>
      </c>
      <c r="I47" s="51">
        <v>3</v>
      </c>
      <c r="J47" s="56">
        <v>0.3</v>
      </c>
      <c r="K47" s="50"/>
      <c r="L47" s="57"/>
      <c r="M47" s="62">
        <v>8</v>
      </c>
      <c r="N47" s="63">
        <v>5</v>
      </c>
      <c r="O47" s="63">
        <v>3</v>
      </c>
      <c r="P47" s="63">
        <v>9</v>
      </c>
      <c r="Q47" s="63">
        <v>5</v>
      </c>
      <c r="R47" s="63">
        <v>5</v>
      </c>
      <c r="S47" s="63">
        <v>1</v>
      </c>
      <c r="T47" s="64">
        <v>10</v>
      </c>
      <c r="U47" s="67" t="e">
        <f t="shared" ca="1" si="18"/>
        <v>#DIV/0!</v>
      </c>
      <c r="V47" s="67">
        <f t="shared" ca="1" si="19"/>
        <v>0.3</v>
      </c>
      <c r="W47" s="69">
        <f t="shared" si="20"/>
        <v>1.263157894736842</v>
      </c>
      <c r="X47" s="69">
        <f t="shared" si="13"/>
        <v>0.52631578947368418</v>
      </c>
      <c r="Y47" s="69">
        <f t="shared" si="14"/>
        <v>0.42105263157894735</v>
      </c>
      <c r="Z47" s="69">
        <f t="shared" si="21"/>
        <v>1.5789473684210527</v>
      </c>
      <c r="AA47" s="69">
        <f t="shared" si="15"/>
        <v>0.43859649122807015</v>
      </c>
      <c r="AB47" s="69">
        <f t="shared" si="22"/>
        <v>0.61403508771929827</v>
      </c>
      <c r="AC47" s="69">
        <f t="shared" si="23"/>
        <v>0.10526315789473684</v>
      </c>
      <c r="AD47" s="70">
        <f t="shared" si="16"/>
        <v>1.0526315789473684</v>
      </c>
      <c r="AE47" s="71">
        <f t="shared" si="24"/>
        <v>0.7</v>
      </c>
      <c r="AF47" s="71">
        <f t="shared" ca="1" si="25"/>
        <v>0.7</v>
      </c>
      <c r="AG47" s="72">
        <f t="shared" ca="1" si="26"/>
        <v>0.69999999999999984</v>
      </c>
      <c r="AH47" s="177">
        <f t="shared" si="27"/>
        <v>5.9999999999999991</v>
      </c>
      <c r="AI47" s="185">
        <f t="shared" ca="1" si="28"/>
        <v>41.999999999999986</v>
      </c>
      <c r="AJ47" s="179" t="str">
        <f t="shared" ca="1" si="29"/>
        <v>Q4</v>
      </c>
      <c r="AK47" s="90" t="s">
        <v>430</v>
      </c>
      <c r="AL47" s="194"/>
      <c r="AM47" s="103"/>
      <c r="AN47" s="103">
        <v>248000</v>
      </c>
      <c r="AO47" s="103"/>
      <c r="AP47" s="108"/>
      <c r="AQ47" s="299"/>
      <c r="AR47" s="327"/>
      <c r="AS47" s="164">
        <f t="shared" si="17"/>
        <v>256679.99999999997</v>
      </c>
      <c r="AT47" s="164"/>
      <c r="AU47" s="320"/>
      <c r="AV47" s="324"/>
      <c r="AW47" s="89"/>
    </row>
    <row r="48" spans="1:49" ht="36" customHeight="1">
      <c r="A48" s="1"/>
      <c r="B48" s="229">
        <v>44</v>
      </c>
      <c r="C48" s="14" t="s">
        <v>20</v>
      </c>
      <c r="D48" s="168" t="s">
        <v>384</v>
      </c>
      <c r="E48" s="32" t="s">
        <v>725</v>
      </c>
      <c r="F48" s="23" t="s">
        <v>726</v>
      </c>
      <c r="G48" s="182"/>
      <c r="H48" s="213">
        <v>210000</v>
      </c>
      <c r="I48" s="50">
        <v>3</v>
      </c>
      <c r="J48" s="156">
        <v>0.3</v>
      </c>
      <c r="K48" s="50"/>
      <c r="L48" s="157"/>
      <c r="M48" s="158">
        <v>8</v>
      </c>
      <c r="N48" s="159">
        <v>5</v>
      </c>
      <c r="O48" s="159">
        <v>3</v>
      </c>
      <c r="P48" s="159">
        <v>9</v>
      </c>
      <c r="Q48" s="159">
        <v>5</v>
      </c>
      <c r="R48" s="159">
        <v>5</v>
      </c>
      <c r="S48" s="159">
        <v>1</v>
      </c>
      <c r="T48" s="160">
        <v>10</v>
      </c>
      <c r="U48" s="245" t="e">
        <f t="shared" ca="1" si="18"/>
        <v>#DIV/0!</v>
      </c>
      <c r="V48" s="245">
        <f t="shared" ca="1" si="19"/>
        <v>0.3</v>
      </c>
      <c r="W48" s="241">
        <f t="shared" si="20"/>
        <v>1.263157894736842</v>
      </c>
      <c r="X48" s="241">
        <f t="shared" si="13"/>
        <v>0.52631578947368418</v>
      </c>
      <c r="Y48" s="241">
        <f t="shared" si="14"/>
        <v>0.42105263157894735</v>
      </c>
      <c r="Z48" s="241">
        <f t="shared" si="21"/>
        <v>1.5789473684210527</v>
      </c>
      <c r="AA48" s="241">
        <f t="shared" si="15"/>
        <v>0.43859649122807015</v>
      </c>
      <c r="AB48" s="241">
        <f t="shared" si="22"/>
        <v>0.61403508771929827</v>
      </c>
      <c r="AC48" s="241">
        <f t="shared" si="23"/>
        <v>0.10526315789473684</v>
      </c>
      <c r="AD48" s="242">
        <f t="shared" si="16"/>
        <v>1.0526315789473684</v>
      </c>
      <c r="AE48" s="243">
        <f t="shared" si="24"/>
        <v>0.7</v>
      </c>
      <c r="AF48" s="243">
        <f t="shared" ca="1" si="25"/>
        <v>0.7</v>
      </c>
      <c r="AG48" s="202">
        <f t="shared" ca="1" si="26"/>
        <v>0.69999999999999984</v>
      </c>
      <c r="AH48" s="246">
        <f t="shared" si="27"/>
        <v>5.9999999999999991</v>
      </c>
      <c r="AI48" s="185">
        <f t="shared" ca="1" si="28"/>
        <v>41.999999999999986</v>
      </c>
      <c r="AJ48" s="179" t="str">
        <f t="shared" ca="1" si="29"/>
        <v>Q4</v>
      </c>
      <c r="AK48" s="86" t="s">
        <v>430</v>
      </c>
      <c r="AL48" s="193"/>
      <c r="AM48" s="103"/>
      <c r="AN48" s="108">
        <v>210000</v>
      </c>
      <c r="AO48" s="103" t="s">
        <v>416</v>
      </c>
      <c r="AP48" s="108"/>
      <c r="AQ48" s="299"/>
      <c r="AR48" s="327"/>
      <c r="AS48" s="164">
        <f t="shared" si="17"/>
        <v>217349.99999999997</v>
      </c>
      <c r="AT48" s="164"/>
      <c r="AU48" s="320"/>
      <c r="AV48" s="324"/>
      <c r="AW48" s="87"/>
    </row>
    <row r="49" spans="1:49" ht="36" customHeight="1">
      <c r="A49" s="1"/>
      <c r="B49" s="229">
        <v>45</v>
      </c>
      <c r="C49" s="14" t="s">
        <v>12</v>
      </c>
      <c r="D49" s="168" t="s">
        <v>385</v>
      </c>
      <c r="E49" s="12" t="s">
        <v>407</v>
      </c>
      <c r="F49" s="8" t="s">
        <v>494</v>
      </c>
      <c r="G49" s="137"/>
      <c r="H49" s="213">
        <v>220000</v>
      </c>
      <c r="I49" s="51">
        <v>3</v>
      </c>
      <c r="J49" s="56">
        <v>0.2</v>
      </c>
      <c r="K49" s="50"/>
      <c r="L49" s="57"/>
      <c r="M49" s="62">
        <v>8</v>
      </c>
      <c r="N49" s="63">
        <v>8</v>
      </c>
      <c r="O49" s="63">
        <v>4</v>
      </c>
      <c r="P49" s="63">
        <v>6</v>
      </c>
      <c r="Q49" s="63">
        <v>6</v>
      </c>
      <c r="R49" s="63">
        <v>5</v>
      </c>
      <c r="S49" s="63">
        <v>0</v>
      </c>
      <c r="T49" s="64">
        <v>8</v>
      </c>
      <c r="U49" s="67" t="e">
        <f t="shared" ca="1" si="18"/>
        <v>#DIV/0!</v>
      </c>
      <c r="V49" s="67">
        <f t="shared" ca="1" si="19"/>
        <v>0.2</v>
      </c>
      <c r="W49" s="69">
        <f t="shared" si="20"/>
        <v>1.263157894736842</v>
      </c>
      <c r="X49" s="69">
        <f t="shared" si="13"/>
        <v>0.84210526315789469</v>
      </c>
      <c r="Y49" s="69">
        <f t="shared" si="14"/>
        <v>0.56140350877192979</v>
      </c>
      <c r="Z49" s="69">
        <f t="shared" si="21"/>
        <v>1.0526315789473684</v>
      </c>
      <c r="AA49" s="69">
        <f t="shared" si="15"/>
        <v>0.52631578947368418</v>
      </c>
      <c r="AB49" s="69">
        <f t="shared" si="22"/>
        <v>0.61403508771929827</v>
      </c>
      <c r="AC49" s="69">
        <f t="shared" si="23"/>
        <v>0</v>
      </c>
      <c r="AD49" s="70">
        <f t="shared" si="16"/>
        <v>0.84210526315789469</v>
      </c>
      <c r="AE49" s="71">
        <f t="shared" si="24"/>
        <v>0.7</v>
      </c>
      <c r="AF49" s="71">
        <f t="shared" ca="1" si="25"/>
        <v>0.8</v>
      </c>
      <c r="AG49" s="72">
        <f t="shared" ca="1" si="26"/>
        <v>0.73333333333333339</v>
      </c>
      <c r="AH49" s="177">
        <f t="shared" si="27"/>
        <v>5.7017543859649118</v>
      </c>
      <c r="AI49" s="185">
        <f t="shared" ca="1" si="28"/>
        <v>41.812865497076018</v>
      </c>
      <c r="AJ49" s="179" t="str">
        <f t="shared" ca="1" si="29"/>
        <v>Q4</v>
      </c>
      <c r="AK49" s="90" t="s">
        <v>347</v>
      </c>
      <c r="AL49" s="101"/>
      <c r="AM49" s="269"/>
      <c r="AN49" s="103">
        <v>220000</v>
      </c>
      <c r="AO49" s="103"/>
      <c r="AP49" s="108"/>
      <c r="AQ49" s="299"/>
      <c r="AR49" s="327"/>
      <c r="AS49" s="164">
        <f t="shared" si="17"/>
        <v>227699.99999999997</v>
      </c>
      <c r="AT49" s="164"/>
      <c r="AU49" s="320"/>
      <c r="AV49" s="324"/>
      <c r="AW49" s="87"/>
    </row>
    <row r="50" spans="1:49" ht="36" customHeight="1">
      <c r="A50" s="1">
        <v>179</v>
      </c>
      <c r="B50" s="229">
        <v>46</v>
      </c>
      <c r="C50" s="6" t="s">
        <v>20</v>
      </c>
      <c r="D50" s="133" t="s">
        <v>384</v>
      </c>
      <c r="E50" s="18" t="s">
        <v>439</v>
      </c>
      <c r="F50" s="20" t="s">
        <v>443</v>
      </c>
      <c r="G50" s="137"/>
      <c r="H50" s="216">
        <v>150000</v>
      </c>
      <c r="I50" s="51">
        <v>3</v>
      </c>
      <c r="J50" s="56">
        <v>0.1</v>
      </c>
      <c r="K50" s="50"/>
      <c r="L50" s="57"/>
      <c r="M50" s="62">
        <v>4</v>
      </c>
      <c r="N50" s="63">
        <v>6</v>
      </c>
      <c r="O50" s="63">
        <v>2</v>
      </c>
      <c r="P50" s="63">
        <v>8</v>
      </c>
      <c r="Q50" s="63">
        <v>2</v>
      </c>
      <c r="R50" s="63">
        <v>10</v>
      </c>
      <c r="S50" s="63">
        <v>0</v>
      </c>
      <c r="T50" s="64">
        <v>10</v>
      </c>
      <c r="U50" s="67" t="e">
        <f t="shared" ca="1" si="18"/>
        <v>#DIV/0!</v>
      </c>
      <c r="V50" s="67">
        <f t="shared" ca="1" si="19"/>
        <v>0.1</v>
      </c>
      <c r="W50" s="69">
        <f t="shared" si="20"/>
        <v>0.63157894736842102</v>
      </c>
      <c r="X50" s="69">
        <f t="shared" si="13"/>
        <v>0.63157894736842102</v>
      </c>
      <c r="Y50" s="69">
        <f t="shared" si="14"/>
        <v>0.2807017543859649</v>
      </c>
      <c r="Z50" s="69">
        <f t="shared" si="21"/>
        <v>1.4035087719298245</v>
      </c>
      <c r="AA50" s="69">
        <f t="shared" si="15"/>
        <v>0.17543859649122806</v>
      </c>
      <c r="AB50" s="69">
        <f t="shared" si="22"/>
        <v>1.2280701754385965</v>
      </c>
      <c r="AC50" s="69">
        <f t="shared" si="23"/>
        <v>0</v>
      </c>
      <c r="AD50" s="70">
        <f t="shared" si="16"/>
        <v>1.0526315789473684</v>
      </c>
      <c r="AE50" s="71">
        <f t="shared" si="24"/>
        <v>0.7</v>
      </c>
      <c r="AF50" s="71">
        <f t="shared" ca="1" si="25"/>
        <v>0.9</v>
      </c>
      <c r="AG50" s="72">
        <f t="shared" ca="1" si="26"/>
        <v>0.76666666666666661</v>
      </c>
      <c r="AH50" s="177">
        <f t="shared" si="27"/>
        <v>5.4035087719298245</v>
      </c>
      <c r="AI50" s="185">
        <f t="shared" ca="1" si="28"/>
        <v>41.426900584795312</v>
      </c>
      <c r="AJ50" s="179" t="str">
        <f t="shared" ca="1" si="29"/>
        <v>Q2</v>
      </c>
      <c r="AK50" s="90" t="s">
        <v>430</v>
      </c>
      <c r="AL50" s="195"/>
      <c r="AM50" s="103"/>
      <c r="AN50" s="103">
        <v>150000</v>
      </c>
      <c r="AO50" s="103"/>
      <c r="AP50" s="108"/>
      <c r="AQ50" s="299"/>
      <c r="AR50" s="327"/>
      <c r="AS50" s="164">
        <f t="shared" si="17"/>
        <v>155250</v>
      </c>
      <c r="AT50" s="164"/>
      <c r="AU50" s="320"/>
      <c r="AV50" s="324"/>
      <c r="AW50" s="87"/>
    </row>
    <row r="51" spans="1:49" ht="36" customHeight="1">
      <c r="A51" s="1"/>
      <c r="B51" s="229">
        <v>47</v>
      </c>
      <c r="C51" s="6" t="s">
        <v>17</v>
      </c>
      <c r="D51" s="133" t="s">
        <v>385</v>
      </c>
      <c r="E51" s="10" t="s">
        <v>717</v>
      </c>
      <c r="F51" s="17" t="s">
        <v>716</v>
      </c>
      <c r="G51" s="117" t="s">
        <v>133</v>
      </c>
      <c r="H51" s="215">
        <v>160000</v>
      </c>
      <c r="I51" s="51">
        <v>4</v>
      </c>
      <c r="J51" s="56">
        <v>0.1</v>
      </c>
      <c r="K51" s="50"/>
      <c r="L51" s="57"/>
      <c r="M51" s="62">
        <v>6.0000000000000036</v>
      </c>
      <c r="N51" s="63">
        <v>8.0000000000000053</v>
      </c>
      <c r="O51" s="63">
        <v>6.0000000000000036</v>
      </c>
      <c r="P51" s="63">
        <v>8.0000000000000053</v>
      </c>
      <c r="Q51" s="63">
        <v>4.0000000000000027</v>
      </c>
      <c r="R51" s="63">
        <v>6.0000000000000036</v>
      </c>
      <c r="S51" s="63">
        <v>0</v>
      </c>
      <c r="T51" s="64">
        <v>7</v>
      </c>
      <c r="U51" s="67" t="e">
        <f t="shared" ca="1" si="18"/>
        <v>#DIV/0!</v>
      </c>
      <c r="V51" s="67">
        <f t="shared" ca="1" si="19"/>
        <v>0.1</v>
      </c>
      <c r="W51" s="69">
        <f t="shared" si="20"/>
        <v>0.94736842105263208</v>
      </c>
      <c r="X51" s="69">
        <f t="shared" si="13"/>
        <v>0.84210526315789525</v>
      </c>
      <c r="Y51" s="69">
        <f t="shared" si="14"/>
        <v>0.84210526315789525</v>
      </c>
      <c r="Z51" s="69">
        <f t="shared" si="21"/>
        <v>1.4035087719298256</v>
      </c>
      <c r="AA51" s="69">
        <f t="shared" si="15"/>
        <v>0.3508771929824564</v>
      </c>
      <c r="AB51" s="69">
        <f t="shared" si="22"/>
        <v>0.73684210526315841</v>
      </c>
      <c r="AC51" s="69">
        <f t="shared" si="23"/>
        <v>0</v>
      </c>
      <c r="AD51" s="70">
        <f t="shared" si="16"/>
        <v>0.73684210526315785</v>
      </c>
      <c r="AE51" s="71">
        <f t="shared" si="24"/>
        <v>0.6</v>
      </c>
      <c r="AF51" s="71">
        <f t="shared" ca="1" si="25"/>
        <v>0.9</v>
      </c>
      <c r="AG51" s="72">
        <f t="shared" ca="1" si="26"/>
        <v>0.70000000000000007</v>
      </c>
      <c r="AH51" s="177">
        <f t="shared" si="27"/>
        <v>5.8596491228070207</v>
      </c>
      <c r="AI51" s="185">
        <f t="shared" ca="1" si="28"/>
        <v>41.017543859649152</v>
      </c>
      <c r="AJ51" s="179" t="str">
        <f t="shared" ca="1" si="29"/>
        <v>Q4</v>
      </c>
      <c r="AK51" s="90" t="s">
        <v>342</v>
      </c>
      <c r="AL51" s="195"/>
      <c r="AM51" s="103"/>
      <c r="AN51" s="103">
        <v>160000</v>
      </c>
      <c r="AO51" s="103"/>
      <c r="AP51" s="108"/>
      <c r="AQ51" s="299"/>
      <c r="AR51" s="327"/>
      <c r="AS51" s="164">
        <f t="shared" si="17"/>
        <v>165600</v>
      </c>
      <c r="AT51" s="164"/>
      <c r="AU51" s="320"/>
      <c r="AV51" s="324"/>
      <c r="AW51" s="87"/>
    </row>
    <row r="52" spans="1:49" ht="36" customHeight="1">
      <c r="A52" s="1">
        <v>81</v>
      </c>
      <c r="B52" s="229">
        <v>48</v>
      </c>
      <c r="C52" s="2" t="s">
        <v>14</v>
      </c>
      <c r="D52" s="132" t="s">
        <v>385</v>
      </c>
      <c r="E52" s="167" t="s">
        <v>719</v>
      </c>
      <c r="F52" s="23" t="s">
        <v>718</v>
      </c>
      <c r="G52" s="191" t="s">
        <v>79</v>
      </c>
      <c r="H52" s="214">
        <v>130000</v>
      </c>
      <c r="I52" s="142">
        <v>3</v>
      </c>
      <c r="J52" s="139">
        <v>0.3</v>
      </c>
      <c r="K52" s="138"/>
      <c r="L52" s="140"/>
      <c r="M52" s="62">
        <v>6.0000000000000036</v>
      </c>
      <c r="N52" s="63">
        <v>8.0000000000000053</v>
      </c>
      <c r="O52" s="63">
        <v>6.0000000000000036</v>
      </c>
      <c r="P52" s="63">
        <v>8.0000000000000053</v>
      </c>
      <c r="Q52" s="63">
        <v>4.0000000000000027</v>
      </c>
      <c r="R52" s="63">
        <v>6.0000000000000036</v>
      </c>
      <c r="S52" s="63">
        <v>1</v>
      </c>
      <c r="T52" s="64">
        <v>6.0000000000000036</v>
      </c>
      <c r="U52" s="141" t="e">
        <f t="shared" ca="1" si="18"/>
        <v>#DIV/0!</v>
      </c>
      <c r="V52" s="141">
        <f t="shared" ca="1" si="19"/>
        <v>0.3</v>
      </c>
      <c r="W52" s="69">
        <f t="shared" si="20"/>
        <v>0.94736842105263208</v>
      </c>
      <c r="X52" s="69">
        <f t="shared" si="13"/>
        <v>0.84210526315789525</v>
      </c>
      <c r="Y52" s="69">
        <f t="shared" si="14"/>
        <v>0.84210526315789525</v>
      </c>
      <c r="Z52" s="69">
        <f t="shared" si="21"/>
        <v>1.4035087719298256</v>
      </c>
      <c r="AA52" s="69">
        <f t="shared" si="15"/>
        <v>0.3508771929824564</v>
      </c>
      <c r="AB52" s="69">
        <f t="shared" si="22"/>
        <v>0.73684210526315841</v>
      </c>
      <c r="AC52" s="69">
        <f t="shared" si="23"/>
        <v>0.10526315789473684</v>
      </c>
      <c r="AD52" s="70">
        <f t="shared" si="16"/>
        <v>0.63157894736842146</v>
      </c>
      <c r="AE52" s="71">
        <f t="shared" si="24"/>
        <v>0.7</v>
      </c>
      <c r="AF52" s="71">
        <f t="shared" ca="1" si="25"/>
        <v>0.7</v>
      </c>
      <c r="AG52" s="72">
        <f t="shared" ca="1" si="26"/>
        <v>0.69999999999999984</v>
      </c>
      <c r="AH52" s="176">
        <f t="shared" si="27"/>
        <v>5.8596491228070215</v>
      </c>
      <c r="AI52" s="184">
        <f t="shared" ca="1" si="28"/>
        <v>41.017543859649138</v>
      </c>
      <c r="AJ52" s="179" t="str">
        <f t="shared" ca="1" si="29"/>
        <v>Q4</v>
      </c>
      <c r="AK52" s="135" t="s">
        <v>342</v>
      </c>
      <c r="AL52" s="101"/>
      <c r="AM52" s="269"/>
      <c r="AN52" s="169">
        <v>130000</v>
      </c>
      <c r="AO52" s="103"/>
      <c r="AP52" s="108" t="s">
        <v>416</v>
      </c>
      <c r="AQ52" s="299"/>
      <c r="AR52" s="327"/>
      <c r="AS52" s="164">
        <f t="shared" si="17"/>
        <v>134550</v>
      </c>
      <c r="AT52" s="164"/>
      <c r="AU52" s="320"/>
      <c r="AV52" s="324"/>
      <c r="AW52" s="87"/>
    </row>
    <row r="53" spans="1:49" ht="36" customHeight="1">
      <c r="A53" s="1"/>
      <c r="B53" s="229">
        <v>49</v>
      </c>
      <c r="C53" s="154" t="s">
        <v>20</v>
      </c>
      <c r="D53" s="155" t="s">
        <v>384</v>
      </c>
      <c r="E53" s="167" t="s">
        <v>47</v>
      </c>
      <c r="F53" s="23" t="s">
        <v>455</v>
      </c>
      <c r="G53" s="182" t="s">
        <v>48</v>
      </c>
      <c r="H53" s="212">
        <v>250000</v>
      </c>
      <c r="I53" s="142">
        <v>3</v>
      </c>
      <c r="J53" s="139">
        <v>0.2</v>
      </c>
      <c r="K53" s="138"/>
      <c r="L53" s="140"/>
      <c r="M53" s="62">
        <v>7</v>
      </c>
      <c r="N53" s="63">
        <v>6.0000000000000036</v>
      </c>
      <c r="O53" s="63">
        <v>6.0000000000000036</v>
      </c>
      <c r="P53" s="63">
        <v>6.0000000000000036</v>
      </c>
      <c r="Q53" s="63">
        <v>3</v>
      </c>
      <c r="R53" s="63">
        <v>6</v>
      </c>
      <c r="S53" s="63">
        <v>0</v>
      </c>
      <c r="T53" s="64">
        <v>9</v>
      </c>
      <c r="U53" s="141" t="e">
        <f t="shared" ca="1" si="18"/>
        <v>#DIV/0!</v>
      </c>
      <c r="V53" s="141">
        <f t="shared" ca="1" si="19"/>
        <v>0.2</v>
      </c>
      <c r="W53" s="69">
        <f t="shared" si="20"/>
        <v>1.1052631578947369</v>
      </c>
      <c r="X53" s="69">
        <f t="shared" si="13"/>
        <v>0.63157894736842146</v>
      </c>
      <c r="Y53" s="69">
        <f t="shared" si="14"/>
        <v>0.84210526315789525</v>
      </c>
      <c r="Z53" s="69">
        <f t="shared" si="21"/>
        <v>1.052631578947369</v>
      </c>
      <c r="AA53" s="69">
        <f t="shared" si="15"/>
        <v>0.26315789473684209</v>
      </c>
      <c r="AB53" s="69">
        <f t="shared" si="22"/>
        <v>0.73684210526315785</v>
      </c>
      <c r="AC53" s="69">
        <f t="shared" si="23"/>
        <v>0</v>
      </c>
      <c r="AD53" s="70">
        <f t="shared" si="16"/>
        <v>0.94736842105263153</v>
      </c>
      <c r="AE53" s="71">
        <f t="shared" si="24"/>
        <v>0.7</v>
      </c>
      <c r="AF53" s="71">
        <f t="shared" ca="1" si="25"/>
        <v>0.8</v>
      </c>
      <c r="AG53" s="72">
        <f t="shared" ca="1" si="26"/>
        <v>0.73333333333333339</v>
      </c>
      <c r="AH53" s="176">
        <f t="shared" si="27"/>
        <v>5.578947368421054</v>
      </c>
      <c r="AI53" s="184">
        <f t="shared" ca="1" si="28"/>
        <v>40.912280701754398</v>
      </c>
      <c r="AJ53" s="179" t="str">
        <f t="shared" ca="1" si="29"/>
        <v>Q4</v>
      </c>
      <c r="AK53" s="90" t="s">
        <v>430</v>
      </c>
      <c r="AL53" s="100"/>
      <c r="AM53" s="268"/>
      <c r="AN53" s="103">
        <v>250000</v>
      </c>
      <c r="AO53" s="103"/>
      <c r="AP53" s="108"/>
      <c r="AQ53" s="299"/>
      <c r="AR53" s="327"/>
      <c r="AS53" s="164">
        <f t="shared" si="17"/>
        <v>258749.99999999997</v>
      </c>
      <c r="AT53" s="164"/>
      <c r="AU53" s="320"/>
      <c r="AV53" s="324"/>
      <c r="AW53" s="87"/>
    </row>
    <row r="54" spans="1:49" ht="36" customHeight="1">
      <c r="A54" s="5">
        <v>298</v>
      </c>
      <c r="B54" s="229">
        <v>50</v>
      </c>
      <c r="C54" s="6" t="s">
        <v>9</v>
      </c>
      <c r="D54" s="133" t="s">
        <v>10</v>
      </c>
      <c r="E54" s="10" t="s">
        <v>644</v>
      </c>
      <c r="F54" s="17" t="s">
        <v>255</v>
      </c>
      <c r="G54" s="118" t="s">
        <v>256</v>
      </c>
      <c r="H54" s="215">
        <v>150000</v>
      </c>
      <c r="I54" s="51">
        <v>4</v>
      </c>
      <c r="J54" s="56">
        <v>0.2</v>
      </c>
      <c r="K54" s="50"/>
      <c r="L54" s="57"/>
      <c r="M54" s="62">
        <v>6.0000000000000036</v>
      </c>
      <c r="N54" s="63">
        <v>8.0000000000000053</v>
      </c>
      <c r="O54" s="63">
        <v>5</v>
      </c>
      <c r="P54" s="63">
        <v>8.0000000000000053</v>
      </c>
      <c r="Q54" s="63">
        <v>5</v>
      </c>
      <c r="R54" s="63">
        <v>6.0000000000000036</v>
      </c>
      <c r="S54" s="63">
        <v>0</v>
      </c>
      <c r="T54" s="64">
        <v>10</v>
      </c>
      <c r="U54" s="67" t="e">
        <f t="shared" ca="1" si="18"/>
        <v>#DIV/0!</v>
      </c>
      <c r="V54" s="67">
        <f t="shared" ca="1" si="19"/>
        <v>0.2</v>
      </c>
      <c r="W54" s="69">
        <f t="shared" si="20"/>
        <v>0.94736842105263208</v>
      </c>
      <c r="X54" s="69">
        <f t="shared" si="13"/>
        <v>0.84210526315789525</v>
      </c>
      <c r="Y54" s="69">
        <f t="shared" si="14"/>
        <v>0.70175438596491224</v>
      </c>
      <c r="Z54" s="69">
        <f t="shared" si="21"/>
        <v>1.4035087719298256</v>
      </c>
      <c r="AA54" s="69">
        <f t="shared" si="15"/>
        <v>0.43859649122807015</v>
      </c>
      <c r="AB54" s="69">
        <f t="shared" si="22"/>
        <v>0.73684210526315841</v>
      </c>
      <c r="AC54" s="69">
        <f t="shared" si="23"/>
        <v>0</v>
      </c>
      <c r="AD54" s="70">
        <f t="shared" si="16"/>
        <v>1.0526315789473684</v>
      </c>
      <c r="AE54" s="71">
        <f t="shared" si="24"/>
        <v>0.6</v>
      </c>
      <c r="AF54" s="71">
        <f t="shared" ca="1" si="25"/>
        <v>0.8</v>
      </c>
      <c r="AG54" s="72">
        <f t="shared" ca="1" si="26"/>
        <v>0.66666666666666663</v>
      </c>
      <c r="AH54" s="177">
        <f t="shared" si="27"/>
        <v>6.1228070175438623</v>
      </c>
      <c r="AI54" s="185">
        <f t="shared" ca="1" si="28"/>
        <v>40.818713450292414</v>
      </c>
      <c r="AJ54" s="179" t="str">
        <f t="shared" ca="1" si="29"/>
        <v>Q3</v>
      </c>
      <c r="AK54" s="90" t="s">
        <v>342</v>
      </c>
      <c r="AL54" s="101"/>
      <c r="AM54" s="268"/>
      <c r="AN54" s="103">
        <v>150000</v>
      </c>
      <c r="AO54" s="103"/>
      <c r="AP54" s="108"/>
      <c r="AQ54" s="299"/>
      <c r="AR54" s="327"/>
      <c r="AS54" s="164">
        <f t="shared" si="17"/>
        <v>155250</v>
      </c>
      <c r="AT54" s="164"/>
      <c r="AU54" s="320"/>
      <c r="AV54" s="324"/>
      <c r="AW54" s="89"/>
    </row>
    <row r="55" spans="1:49" ht="36" customHeight="1">
      <c r="A55" s="5"/>
      <c r="B55" s="229">
        <v>51</v>
      </c>
      <c r="C55" s="14" t="s">
        <v>25</v>
      </c>
      <c r="D55" s="168"/>
      <c r="E55" s="10" t="s">
        <v>751</v>
      </c>
      <c r="F55" s="23" t="s">
        <v>752</v>
      </c>
      <c r="G55" s="13"/>
      <c r="H55" s="213">
        <v>250000</v>
      </c>
      <c r="I55" s="51"/>
      <c r="J55" s="56"/>
      <c r="K55" s="50"/>
      <c r="L55" s="57"/>
      <c r="M55" s="62"/>
      <c r="N55" s="63"/>
      <c r="O55" s="63"/>
      <c r="P55" s="63"/>
      <c r="Q55" s="63"/>
      <c r="R55" s="63"/>
      <c r="S55" s="63"/>
      <c r="T55" s="64"/>
      <c r="U55" s="67"/>
      <c r="V55" s="67"/>
      <c r="W55" s="69"/>
      <c r="X55" s="69"/>
      <c r="Y55" s="69"/>
      <c r="Z55" s="69"/>
      <c r="AA55" s="69"/>
      <c r="AB55" s="69"/>
      <c r="AC55" s="69"/>
      <c r="AD55" s="70"/>
      <c r="AE55" s="71"/>
      <c r="AF55" s="71"/>
      <c r="AG55" s="72"/>
      <c r="AH55" s="177"/>
      <c r="AI55" s="185">
        <v>40.799999999999997</v>
      </c>
      <c r="AJ55" s="179"/>
      <c r="AK55" s="88" t="s">
        <v>329</v>
      </c>
      <c r="AL55" s="100"/>
      <c r="AM55" s="268" t="s">
        <v>416</v>
      </c>
      <c r="AN55" s="103">
        <v>650000</v>
      </c>
      <c r="AO55" s="261"/>
      <c r="AP55" s="108"/>
      <c r="AQ55" s="299"/>
      <c r="AR55" s="327"/>
      <c r="AS55" s="164">
        <v>252372</v>
      </c>
      <c r="AT55" s="164"/>
      <c r="AU55" s="320"/>
      <c r="AV55" s="324"/>
      <c r="AW55" s="89"/>
    </row>
    <row r="56" spans="1:49" ht="36" customHeight="1">
      <c r="A56" s="5"/>
      <c r="B56" s="229">
        <v>52</v>
      </c>
      <c r="C56" s="14" t="s">
        <v>6</v>
      </c>
      <c r="D56" s="168" t="s">
        <v>7</v>
      </c>
      <c r="E56" s="7" t="s">
        <v>49</v>
      </c>
      <c r="F56" s="9" t="s">
        <v>727</v>
      </c>
      <c r="G56" s="8"/>
      <c r="H56" s="213">
        <v>450000</v>
      </c>
      <c r="I56" s="50">
        <v>3</v>
      </c>
      <c r="J56" s="56">
        <v>0.1</v>
      </c>
      <c r="K56" s="50"/>
      <c r="L56" s="57"/>
      <c r="M56" s="62">
        <v>6.0000000000000036</v>
      </c>
      <c r="N56" s="63">
        <v>8</v>
      </c>
      <c r="O56" s="63">
        <v>3</v>
      </c>
      <c r="P56" s="63">
        <v>4</v>
      </c>
      <c r="Q56" s="63">
        <v>1</v>
      </c>
      <c r="R56" s="63">
        <v>6</v>
      </c>
      <c r="S56" s="63">
        <v>6</v>
      </c>
      <c r="T56" s="64">
        <v>9</v>
      </c>
      <c r="U56" s="67" t="e">
        <f t="shared" ref="U56:U121" ca="1" si="30">(L56-(YEAR(TODAY())-K56))/L56</f>
        <v>#DIV/0!</v>
      </c>
      <c r="V56" s="67">
        <f t="shared" ref="V56:V121" ca="1" si="31">IFERROR(U56,J56)</f>
        <v>0.1</v>
      </c>
      <c r="W56" s="69">
        <f t="shared" ref="W56:W121" si="32">M56*Weight1/(WSum)</f>
        <v>0.94736842105263208</v>
      </c>
      <c r="X56" s="69">
        <f t="shared" ref="X56:X121" si="33">N56*Weight2/(WSum)</f>
        <v>0.84210526315789469</v>
      </c>
      <c r="Y56" s="69">
        <f t="shared" ref="Y56:Y121" si="34">O56*Weight3/(WSum)</f>
        <v>0.42105263157894735</v>
      </c>
      <c r="Z56" s="69">
        <f t="shared" ref="Z56:Z121" si="35">P56*Weight4/(WSum)</f>
        <v>0.70175438596491224</v>
      </c>
      <c r="AA56" s="69">
        <f t="shared" ref="AA56:AA121" si="36">Q56*Weight5/(WSum)</f>
        <v>8.771929824561403E-2</v>
      </c>
      <c r="AB56" s="69">
        <f t="shared" ref="AB56:AB121" si="37">R56*Weight6/(WSum)</f>
        <v>0.73684210526315785</v>
      </c>
      <c r="AC56" s="69">
        <f t="shared" ref="AC56:AC121" si="38">S56*Weight7/(WSum)</f>
        <v>0.63157894736842102</v>
      </c>
      <c r="AD56" s="70">
        <f t="shared" ref="AD56:AD121" si="39">T56*Weight8/(WSum)</f>
        <v>0.94736842105263153</v>
      </c>
      <c r="AE56" s="71">
        <f t="shared" ref="AE56:AE121" si="40">-1/10*I56+1</f>
        <v>0.7</v>
      </c>
      <c r="AF56" s="71">
        <f t="shared" ref="AF56:AF121" ca="1" si="41">IF(V56&lt;0,0,-V56+1)</f>
        <v>0.9</v>
      </c>
      <c r="AG56" s="72">
        <f t="shared" ref="AG56:AG121" ca="1" si="42">(AE56*CondWeight+AF56*PLifeWeight)/(CondWeight+PLifeWeight)</f>
        <v>0.76666666666666661</v>
      </c>
      <c r="AH56" s="177">
        <f t="shared" ref="AH56:AH121" si="43">SUM(W56:AD56)</f>
        <v>5.3157894736842115</v>
      </c>
      <c r="AI56" s="185">
        <f t="shared" ref="AI56:AI121" ca="1" si="44">AH56*AG56*10</f>
        <v>40.754385964912281</v>
      </c>
      <c r="AJ56" s="179" t="str">
        <f t="shared" ref="AJ56:AJ80" ca="1" si="45">IF(AG56&gt;$AG$2,IF(AH56&gt;$AH$2,"Q1","Q2"),IF(AH56&gt;$AH$2,"Q3","Q4"))</f>
        <v>Q2</v>
      </c>
      <c r="AK56" s="88" t="s">
        <v>329</v>
      </c>
      <c r="AL56" s="100"/>
      <c r="AM56" s="268"/>
      <c r="AN56" s="103"/>
      <c r="AO56" s="103">
        <v>450000</v>
      </c>
      <c r="AP56" s="108"/>
      <c r="AQ56" s="299"/>
      <c r="AR56" s="327"/>
      <c r="AS56" s="164"/>
      <c r="AT56" s="164">
        <f>AO56*(1+Efactor)^2</f>
        <v>482051.24999999994</v>
      </c>
      <c r="AU56" s="320"/>
      <c r="AV56" s="324" t="s">
        <v>416</v>
      </c>
      <c r="AW56" s="89"/>
    </row>
    <row r="57" spans="1:49" ht="36" customHeight="1">
      <c r="A57" s="5">
        <v>146</v>
      </c>
      <c r="B57" s="229">
        <v>53</v>
      </c>
      <c r="C57" s="6" t="s">
        <v>20</v>
      </c>
      <c r="D57" s="133" t="s">
        <v>384</v>
      </c>
      <c r="E57" s="10" t="s">
        <v>711</v>
      </c>
      <c r="F57" s="23" t="s">
        <v>447</v>
      </c>
      <c r="G57" s="23" t="s">
        <v>64</v>
      </c>
      <c r="H57" s="215">
        <v>63500</v>
      </c>
      <c r="I57" s="51">
        <v>3</v>
      </c>
      <c r="J57" s="56">
        <v>0.2</v>
      </c>
      <c r="K57" s="50"/>
      <c r="L57" s="57"/>
      <c r="M57" s="62">
        <v>5</v>
      </c>
      <c r="N57" s="63">
        <v>7</v>
      </c>
      <c r="O57" s="63">
        <v>3</v>
      </c>
      <c r="P57" s="63">
        <v>8.0000000000000053</v>
      </c>
      <c r="Q57" s="63">
        <v>4.0000000000000027</v>
      </c>
      <c r="R57" s="63">
        <v>8.0000000000000053</v>
      </c>
      <c r="S57" s="63">
        <v>0</v>
      </c>
      <c r="T57" s="64">
        <v>8</v>
      </c>
      <c r="U57" s="67" t="e">
        <f t="shared" ca="1" si="30"/>
        <v>#DIV/0!</v>
      </c>
      <c r="V57" s="67">
        <f t="shared" ca="1" si="31"/>
        <v>0.2</v>
      </c>
      <c r="W57" s="69">
        <f t="shared" si="32"/>
        <v>0.78947368421052633</v>
      </c>
      <c r="X57" s="69">
        <f t="shared" si="33"/>
        <v>0.73684210526315785</v>
      </c>
      <c r="Y57" s="69">
        <f t="shared" si="34"/>
        <v>0.42105263157894735</v>
      </c>
      <c r="Z57" s="69">
        <f t="shared" si="35"/>
        <v>1.4035087719298256</v>
      </c>
      <c r="AA57" s="69">
        <f t="shared" si="36"/>
        <v>0.3508771929824564</v>
      </c>
      <c r="AB57" s="69">
        <f t="shared" si="37"/>
        <v>0.9824561403508778</v>
      </c>
      <c r="AC57" s="69">
        <f t="shared" si="38"/>
        <v>0</v>
      </c>
      <c r="AD57" s="70">
        <f t="shared" si="39"/>
        <v>0.84210526315789469</v>
      </c>
      <c r="AE57" s="71">
        <f t="shared" si="40"/>
        <v>0.7</v>
      </c>
      <c r="AF57" s="71">
        <f t="shared" ca="1" si="41"/>
        <v>0.8</v>
      </c>
      <c r="AG57" s="72">
        <f t="shared" ca="1" si="42"/>
        <v>0.73333333333333339</v>
      </c>
      <c r="AH57" s="177">
        <f t="shared" si="43"/>
        <v>5.5263157894736858</v>
      </c>
      <c r="AI57" s="185">
        <f t="shared" ca="1" si="44"/>
        <v>40.526315789473699</v>
      </c>
      <c r="AJ57" s="179" t="str">
        <f t="shared" ca="1" si="45"/>
        <v>Q4</v>
      </c>
      <c r="AK57" s="90" t="s">
        <v>662</v>
      </c>
      <c r="AL57" s="101"/>
      <c r="AM57" s="268"/>
      <c r="AN57" s="103"/>
      <c r="AO57" s="103">
        <v>63500</v>
      </c>
      <c r="AP57" s="108"/>
      <c r="AQ57" s="299"/>
      <c r="AR57" s="327"/>
      <c r="AS57" s="327"/>
      <c r="AT57" s="164">
        <f>AO57*(1+Efactor)^2</f>
        <v>68022.787499999991</v>
      </c>
      <c r="AU57" s="320"/>
      <c r="AV57" s="324"/>
      <c r="AW57" s="89"/>
    </row>
    <row r="58" spans="1:49" ht="36" customHeight="1">
      <c r="A58" s="5">
        <v>113</v>
      </c>
      <c r="B58" s="229">
        <v>54</v>
      </c>
      <c r="C58" s="6" t="s">
        <v>20</v>
      </c>
      <c r="D58" s="133" t="s">
        <v>384</v>
      </c>
      <c r="E58" s="32" t="s">
        <v>532</v>
      </c>
      <c r="F58" s="23" t="s">
        <v>231</v>
      </c>
      <c r="G58" s="13" t="s">
        <v>232</v>
      </c>
      <c r="H58" s="213">
        <v>234000</v>
      </c>
      <c r="I58" s="51">
        <v>4</v>
      </c>
      <c r="J58" s="56">
        <v>0.2</v>
      </c>
      <c r="K58" s="50"/>
      <c r="L58" s="57"/>
      <c r="M58" s="62">
        <v>6.0000000000000036</v>
      </c>
      <c r="N58" s="63">
        <v>6.0000000000000036</v>
      </c>
      <c r="O58" s="63">
        <v>9.9999999999999982</v>
      </c>
      <c r="P58" s="63">
        <v>2</v>
      </c>
      <c r="Q58" s="63">
        <v>0</v>
      </c>
      <c r="R58" s="63">
        <v>6</v>
      </c>
      <c r="S58" s="63">
        <v>10</v>
      </c>
      <c r="T58" s="64">
        <v>9</v>
      </c>
      <c r="U58" s="67" t="e">
        <f t="shared" ca="1" si="30"/>
        <v>#DIV/0!</v>
      </c>
      <c r="V58" s="67">
        <f t="shared" ca="1" si="31"/>
        <v>0.2</v>
      </c>
      <c r="W58" s="69">
        <f t="shared" si="32"/>
        <v>0.94736842105263208</v>
      </c>
      <c r="X58" s="69">
        <f t="shared" si="33"/>
        <v>0.63157894736842146</v>
      </c>
      <c r="Y58" s="69">
        <f t="shared" si="34"/>
        <v>1.4035087719298243</v>
      </c>
      <c r="Z58" s="69">
        <f t="shared" si="35"/>
        <v>0.35087719298245612</v>
      </c>
      <c r="AA58" s="69">
        <f t="shared" si="36"/>
        <v>0</v>
      </c>
      <c r="AB58" s="69">
        <f t="shared" si="37"/>
        <v>0.73684210526315785</v>
      </c>
      <c r="AC58" s="69">
        <f t="shared" si="38"/>
        <v>1.0526315789473684</v>
      </c>
      <c r="AD58" s="70">
        <f t="shared" si="39"/>
        <v>0.94736842105263153</v>
      </c>
      <c r="AE58" s="71">
        <f t="shared" si="40"/>
        <v>0.6</v>
      </c>
      <c r="AF58" s="71">
        <f t="shared" ca="1" si="41"/>
        <v>0.8</v>
      </c>
      <c r="AG58" s="72">
        <f t="shared" ca="1" si="42"/>
        <v>0.66666666666666663</v>
      </c>
      <c r="AH58" s="177">
        <f t="shared" si="43"/>
        <v>6.0701754385964914</v>
      </c>
      <c r="AI58" s="185">
        <f t="shared" ca="1" si="44"/>
        <v>40.467836257309941</v>
      </c>
      <c r="AJ58" s="179" t="str">
        <f t="shared" ca="1" si="45"/>
        <v>Q3</v>
      </c>
      <c r="AK58" s="90" t="s">
        <v>347</v>
      </c>
      <c r="AL58" s="101"/>
      <c r="AM58" s="269"/>
      <c r="AN58" s="103">
        <v>234000</v>
      </c>
      <c r="AO58" s="315"/>
      <c r="AP58" s="108"/>
      <c r="AQ58" s="299"/>
      <c r="AR58" s="270"/>
      <c r="AS58" s="327"/>
      <c r="AT58" s="295">
        <f>AN58*(1+Efactor)</f>
        <v>242189.99999999997</v>
      </c>
      <c r="AU58" s="320"/>
      <c r="AV58" s="324"/>
      <c r="AW58" s="89"/>
    </row>
    <row r="59" spans="1:49" ht="36" customHeight="1">
      <c r="A59" s="5">
        <v>125</v>
      </c>
      <c r="B59" s="229">
        <v>55</v>
      </c>
      <c r="C59" s="6" t="s">
        <v>20</v>
      </c>
      <c r="D59" s="133" t="s">
        <v>7</v>
      </c>
      <c r="E59" s="18" t="s">
        <v>72</v>
      </c>
      <c r="F59" s="20" t="s">
        <v>448</v>
      </c>
      <c r="G59" s="20" t="s">
        <v>73</v>
      </c>
      <c r="H59" s="216">
        <v>400000</v>
      </c>
      <c r="I59" s="51">
        <v>2</v>
      </c>
      <c r="J59" s="56">
        <v>0.1</v>
      </c>
      <c r="K59" s="50"/>
      <c r="L59" s="57"/>
      <c r="M59" s="62">
        <v>8.0000000000000053</v>
      </c>
      <c r="N59" s="63">
        <v>4</v>
      </c>
      <c r="O59" s="63">
        <v>2</v>
      </c>
      <c r="P59" s="63">
        <v>8.0000000000000053</v>
      </c>
      <c r="Q59" s="63">
        <v>2</v>
      </c>
      <c r="R59" s="63">
        <v>2</v>
      </c>
      <c r="S59" s="63">
        <v>2</v>
      </c>
      <c r="T59" s="64">
        <v>8.0000000000000053</v>
      </c>
      <c r="U59" s="67" t="e">
        <f t="shared" ca="1" si="30"/>
        <v>#DIV/0!</v>
      </c>
      <c r="V59" s="67">
        <f t="shared" ca="1" si="31"/>
        <v>0.1</v>
      </c>
      <c r="W59" s="69">
        <f t="shared" si="32"/>
        <v>1.2631578947368429</v>
      </c>
      <c r="X59" s="69">
        <f t="shared" si="33"/>
        <v>0.42105263157894735</v>
      </c>
      <c r="Y59" s="69">
        <f t="shared" si="34"/>
        <v>0.2807017543859649</v>
      </c>
      <c r="Z59" s="69">
        <f t="shared" si="35"/>
        <v>1.4035087719298256</v>
      </c>
      <c r="AA59" s="69">
        <f t="shared" si="36"/>
        <v>0.17543859649122806</v>
      </c>
      <c r="AB59" s="69">
        <f t="shared" si="37"/>
        <v>0.24561403508771928</v>
      </c>
      <c r="AC59" s="69">
        <f t="shared" si="38"/>
        <v>0.21052631578947367</v>
      </c>
      <c r="AD59" s="70">
        <f t="shared" si="39"/>
        <v>0.84210526315789525</v>
      </c>
      <c r="AE59" s="71">
        <f t="shared" si="40"/>
        <v>0.8</v>
      </c>
      <c r="AF59" s="71">
        <f t="shared" ca="1" si="41"/>
        <v>0.9</v>
      </c>
      <c r="AG59" s="72">
        <f t="shared" ca="1" si="42"/>
        <v>0.83333333333333337</v>
      </c>
      <c r="AH59" s="177">
        <f t="shared" si="43"/>
        <v>4.8421052631578974</v>
      </c>
      <c r="AI59" s="185">
        <f t="shared" ca="1" si="44"/>
        <v>40.35087719298248</v>
      </c>
      <c r="AJ59" s="179" t="str">
        <f t="shared" ca="1" si="45"/>
        <v>Q2</v>
      </c>
      <c r="AK59" s="90" t="s">
        <v>329</v>
      </c>
      <c r="AL59" s="275"/>
      <c r="AM59" s="268"/>
      <c r="AN59" s="103"/>
      <c r="AO59" s="103">
        <v>400000</v>
      </c>
      <c r="AP59" s="108"/>
      <c r="AQ59" s="299"/>
      <c r="AR59" s="270"/>
      <c r="AS59" s="327"/>
      <c r="AT59" s="295">
        <f t="shared" ref="AT59:AT81" si="46">AO59*(1+Efactor)^2</f>
        <v>428489.99999999994</v>
      </c>
      <c r="AU59" s="320"/>
      <c r="AV59" s="324"/>
      <c r="AW59" s="89"/>
    </row>
    <row r="60" spans="1:49" ht="36" customHeight="1">
      <c r="A60" s="5">
        <v>131</v>
      </c>
      <c r="B60" s="229">
        <v>56</v>
      </c>
      <c r="C60" s="6" t="s">
        <v>14</v>
      </c>
      <c r="D60" s="133" t="s">
        <v>15</v>
      </c>
      <c r="E60" s="10" t="s">
        <v>434</v>
      </c>
      <c r="F60" s="16" t="s">
        <v>525</v>
      </c>
      <c r="G60" s="8"/>
      <c r="H60" s="220">
        <v>4018000</v>
      </c>
      <c r="I60" s="51">
        <v>3</v>
      </c>
      <c r="J60" s="56">
        <v>0.4</v>
      </c>
      <c r="K60" s="50"/>
      <c r="L60" s="57"/>
      <c r="M60" s="62">
        <v>6</v>
      </c>
      <c r="N60" s="63">
        <v>6</v>
      </c>
      <c r="O60" s="63">
        <v>6</v>
      </c>
      <c r="P60" s="63">
        <v>8</v>
      </c>
      <c r="Q60" s="63">
        <v>2</v>
      </c>
      <c r="R60" s="63">
        <v>8</v>
      </c>
      <c r="S60" s="63">
        <v>0</v>
      </c>
      <c r="T60" s="64">
        <v>10</v>
      </c>
      <c r="U60" s="67" t="e">
        <f t="shared" ca="1" si="30"/>
        <v>#DIV/0!</v>
      </c>
      <c r="V60" s="67">
        <f t="shared" ca="1" si="31"/>
        <v>0.4</v>
      </c>
      <c r="W60" s="69">
        <f t="shared" si="32"/>
        <v>0.94736842105263153</v>
      </c>
      <c r="X60" s="69">
        <f t="shared" si="33"/>
        <v>0.63157894736842102</v>
      </c>
      <c r="Y60" s="69">
        <f t="shared" si="34"/>
        <v>0.84210526315789469</v>
      </c>
      <c r="Z60" s="69">
        <f t="shared" si="35"/>
        <v>1.4035087719298245</v>
      </c>
      <c r="AA60" s="69">
        <f t="shared" si="36"/>
        <v>0.17543859649122806</v>
      </c>
      <c r="AB60" s="69">
        <f t="shared" si="37"/>
        <v>0.98245614035087714</v>
      </c>
      <c r="AC60" s="69">
        <f t="shared" si="38"/>
        <v>0</v>
      </c>
      <c r="AD60" s="70">
        <f t="shared" si="39"/>
        <v>1.0526315789473684</v>
      </c>
      <c r="AE60" s="71">
        <f t="shared" si="40"/>
        <v>0.7</v>
      </c>
      <c r="AF60" s="71">
        <f t="shared" ca="1" si="41"/>
        <v>0.6</v>
      </c>
      <c r="AG60" s="72">
        <f t="shared" ca="1" si="42"/>
        <v>0.66666666666666663</v>
      </c>
      <c r="AH60" s="177">
        <f t="shared" si="43"/>
        <v>6.0350877192982448</v>
      </c>
      <c r="AI60" s="185">
        <f t="shared" ca="1" si="44"/>
        <v>40.233918128654963</v>
      </c>
      <c r="AJ60" s="179" t="str">
        <f t="shared" ca="1" si="45"/>
        <v>Q3</v>
      </c>
      <c r="AK60" s="90" t="s">
        <v>342</v>
      </c>
      <c r="AL60" s="100"/>
      <c r="AM60" s="273"/>
      <c r="AN60" s="98"/>
      <c r="AO60" s="206">
        <v>4018000</v>
      </c>
      <c r="AP60" s="188"/>
      <c r="AQ60" s="298"/>
      <c r="AR60" s="327"/>
      <c r="AS60" s="164"/>
      <c r="AT60" s="164">
        <f t="shared" si="46"/>
        <v>4304182.05</v>
      </c>
      <c r="AU60" s="320"/>
      <c r="AV60" s="324" t="s">
        <v>416</v>
      </c>
      <c r="AW60" s="89"/>
    </row>
    <row r="61" spans="1:49" ht="36" customHeight="1">
      <c r="A61" s="5"/>
      <c r="B61" s="229">
        <v>57</v>
      </c>
      <c r="C61" s="6" t="s">
        <v>17</v>
      </c>
      <c r="D61" s="133" t="s">
        <v>19</v>
      </c>
      <c r="E61" s="26" t="s">
        <v>501</v>
      </c>
      <c r="F61" s="27" t="s">
        <v>505</v>
      </c>
      <c r="G61" s="113"/>
      <c r="H61" s="213">
        <v>4500000</v>
      </c>
      <c r="I61" s="51">
        <v>4</v>
      </c>
      <c r="J61" s="56">
        <v>0.5</v>
      </c>
      <c r="K61" s="50"/>
      <c r="L61" s="57"/>
      <c r="M61" s="62">
        <v>8</v>
      </c>
      <c r="N61" s="63">
        <v>8</v>
      </c>
      <c r="O61" s="63">
        <v>8</v>
      </c>
      <c r="P61" s="63">
        <v>8</v>
      </c>
      <c r="Q61" s="63">
        <v>6</v>
      </c>
      <c r="R61" s="63">
        <v>8</v>
      </c>
      <c r="S61" s="63">
        <v>0</v>
      </c>
      <c r="T61" s="64">
        <v>9</v>
      </c>
      <c r="U61" s="67" t="e">
        <f t="shared" ca="1" si="30"/>
        <v>#DIV/0!</v>
      </c>
      <c r="V61" s="67">
        <f t="shared" ca="1" si="31"/>
        <v>0.5</v>
      </c>
      <c r="W61" s="69">
        <f t="shared" si="32"/>
        <v>1.263157894736842</v>
      </c>
      <c r="X61" s="69">
        <f t="shared" si="33"/>
        <v>0.84210526315789469</v>
      </c>
      <c r="Y61" s="69">
        <f t="shared" si="34"/>
        <v>1.1228070175438596</v>
      </c>
      <c r="Z61" s="69">
        <f t="shared" si="35"/>
        <v>1.4035087719298245</v>
      </c>
      <c r="AA61" s="69">
        <f t="shared" si="36"/>
        <v>0.52631578947368418</v>
      </c>
      <c r="AB61" s="69">
        <f t="shared" si="37"/>
        <v>0.98245614035087714</v>
      </c>
      <c r="AC61" s="69">
        <f t="shared" si="38"/>
        <v>0</v>
      </c>
      <c r="AD61" s="70">
        <f t="shared" si="39"/>
        <v>0.94736842105263153</v>
      </c>
      <c r="AE61" s="71">
        <f t="shared" si="40"/>
        <v>0.6</v>
      </c>
      <c r="AF61" s="71">
        <f t="shared" ca="1" si="41"/>
        <v>0.5</v>
      </c>
      <c r="AG61" s="72">
        <f t="shared" ca="1" si="42"/>
        <v>0.56666666666666665</v>
      </c>
      <c r="AH61" s="177">
        <f t="shared" si="43"/>
        <v>7.0877192982456148</v>
      </c>
      <c r="AI61" s="185">
        <f t="shared" ca="1" si="44"/>
        <v>40.163742690058484</v>
      </c>
      <c r="AJ61" s="179" t="str">
        <f t="shared" ca="1" si="45"/>
        <v>Q3</v>
      </c>
      <c r="AK61" s="90" t="s">
        <v>342</v>
      </c>
      <c r="AL61" s="194"/>
      <c r="AM61" s="268"/>
      <c r="AN61" s="103"/>
      <c r="AO61" s="103">
        <v>600000</v>
      </c>
      <c r="AP61" s="199">
        <v>3900000</v>
      </c>
      <c r="AQ61" s="299" t="s">
        <v>416</v>
      </c>
      <c r="AR61" s="327"/>
      <c r="AS61" s="164"/>
      <c r="AT61" s="164">
        <f t="shared" si="46"/>
        <v>642734.99999999988</v>
      </c>
      <c r="AU61" s="320">
        <f>AP61*(1+Efactor)^3</f>
        <v>4323999.7124999994</v>
      </c>
      <c r="AV61" s="324"/>
      <c r="AW61" s="89"/>
    </row>
    <row r="62" spans="1:49" ht="36" customHeight="1">
      <c r="A62" s="5"/>
      <c r="B62" s="229">
        <v>58</v>
      </c>
      <c r="C62" s="6" t="s">
        <v>6</v>
      </c>
      <c r="D62" s="133" t="s">
        <v>7</v>
      </c>
      <c r="E62" s="7" t="s">
        <v>388</v>
      </c>
      <c r="F62" s="19" t="s">
        <v>418</v>
      </c>
      <c r="G62" s="20"/>
      <c r="H62" s="215">
        <v>150000</v>
      </c>
      <c r="I62" s="51">
        <v>2</v>
      </c>
      <c r="J62" s="56">
        <v>0.2</v>
      </c>
      <c r="K62" s="50"/>
      <c r="L62" s="57"/>
      <c r="M62" s="62">
        <v>6</v>
      </c>
      <c r="N62" s="63">
        <v>8</v>
      </c>
      <c r="O62" s="63">
        <v>1</v>
      </c>
      <c r="P62" s="63">
        <v>8</v>
      </c>
      <c r="Q62" s="63">
        <v>4</v>
      </c>
      <c r="R62" s="63">
        <v>4</v>
      </c>
      <c r="S62" s="63">
        <v>0</v>
      </c>
      <c r="T62" s="64">
        <v>8</v>
      </c>
      <c r="U62" s="67" t="e">
        <f t="shared" ca="1" si="30"/>
        <v>#DIV/0!</v>
      </c>
      <c r="V62" s="67">
        <f t="shared" ca="1" si="31"/>
        <v>0.2</v>
      </c>
      <c r="W62" s="69">
        <f t="shared" si="32"/>
        <v>0.94736842105263153</v>
      </c>
      <c r="X62" s="69">
        <f t="shared" si="33"/>
        <v>0.84210526315789469</v>
      </c>
      <c r="Y62" s="69">
        <f t="shared" si="34"/>
        <v>0.14035087719298245</v>
      </c>
      <c r="Z62" s="69">
        <f t="shared" si="35"/>
        <v>1.4035087719298245</v>
      </c>
      <c r="AA62" s="69">
        <f t="shared" si="36"/>
        <v>0.35087719298245612</v>
      </c>
      <c r="AB62" s="69">
        <f t="shared" si="37"/>
        <v>0.49122807017543857</v>
      </c>
      <c r="AC62" s="69">
        <f t="shared" si="38"/>
        <v>0</v>
      </c>
      <c r="AD62" s="70">
        <f t="shared" si="39"/>
        <v>0.84210526315789469</v>
      </c>
      <c r="AE62" s="71">
        <f t="shared" si="40"/>
        <v>0.8</v>
      </c>
      <c r="AF62" s="71">
        <f t="shared" ca="1" si="41"/>
        <v>0.8</v>
      </c>
      <c r="AG62" s="72">
        <f t="shared" ca="1" si="42"/>
        <v>0.80000000000000016</v>
      </c>
      <c r="AH62" s="177">
        <f t="shared" si="43"/>
        <v>5.0175438596491224</v>
      </c>
      <c r="AI62" s="185">
        <f t="shared" ca="1" si="44"/>
        <v>40.140350877192986</v>
      </c>
      <c r="AJ62" s="179" t="str">
        <f t="shared" ca="1" si="45"/>
        <v>Q2</v>
      </c>
      <c r="AK62" s="88" t="s">
        <v>329</v>
      </c>
      <c r="AL62" s="276"/>
      <c r="AM62" s="268"/>
      <c r="AN62" s="103"/>
      <c r="AO62" s="103">
        <v>150000</v>
      </c>
      <c r="AP62" s="108"/>
      <c r="AQ62" s="299"/>
      <c r="AR62" s="327"/>
      <c r="AS62" s="164"/>
      <c r="AT62" s="164">
        <f t="shared" si="46"/>
        <v>160683.74999999997</v>
      </c>
      <c r="AU62" s="320"/>
      <c r="AV62" s="324"/>
      <c r="AW62" s="89"/>
    </row>
    <row r="63" spans="1:49" ht="36" customHeight="1">
      <c r="A63" s="5"/>
      <c r="B63" s="229">
        <v>59</v>
      </c>
      <c r="C63" s="6" t="s">
        <v>18</v>
      </c>
      <c r="D63" s="133" t="s">
        <v>7</v>
      </c>
      <c r="E63" s="18" t="s">
        <v>580</v>
      </c>
      <c r="F63" s="20" t="s">
        <v>469</v>
      </c>
      <c r="G63" s="20" t="s">
        <v>32</v>
      </c>
      <c r="H63" s="215">
        <v>217000</v>
      </c>
      <c r="I63" s="51">
        <v>3</v>
      </c>
      <c r="J63" s="56">
        <v>0</v>
      </c>
      <c r="K63" s="50"/>
      <c r="L63" s="57"/>
      <c r="M63" s="62">
        <v>6</v>
      </c>
      <c r="N63" s="63">
        <v>6.0000000000000036</v>
      </c>
      <c r="O63" s="63">
        <v>4</v>
      </c>
      <c r="P63" s="63">
        <v>2</v>
      </c>
      <c r="Q63" s="63">
        <v>6.0000000000000036</v>
      </c>
      <c r="R63" s="63">
        <v>5</v>
      </c>
      <c r="S63" s="63">
        <v>5</v>
      </c>
      <c r="T63" s="64">
        <v>8</v>
      </c>
      <c r="U63" s="67" t="e">
        <f t="shared" ca="1" si="30"/>
        <v>#DIV/0!</v>
      </c>
      <c r="V63" s="67">
        <f t="shared" ca="1" si="31"/>
        <v>0</v>
      </c>
      <c r="W63" s="69">
        <f t="shared" si="32"/>
        <v>0.94736842105263153</v>
      </c>
      <c r="X63" s="69">
        <f t="shared" si="33"/>
        <v>0.63157894736842146</v>
      </c>
      <c r="Y63" s="69">
        <f t="shared" si="34"/>
        <v>0.56140350877192979</v>
      </c>
      <c r="Z63" s="69">
        <f t="shared" si="35"/>
        <v>0.35087719298245612</v>
      </c>
      <c r="AA63" s="69">
        <f t="shared" si="36"/>
        <v>0.52631578947368451</v>
      </c>
      <c r="AB63" s="69">
        <f t="shared" si="37"/>
        <v>0.61403508771929827</v>
      </c>
      <c r="AC63" s="69">
        <f t="shared" si="38"/>
        <v>0.52631578947368418</v>
      </c>
      <c r="AD63" s="70">
        <f t="shared" si="39"/>
        <v>0.84210526315789469</v>
      </c>
      <c r="AE63" s="71">
        <f t="shared" si="40"/>
        <v>0.7</v>
      </c>
      <c r="AF63" s="71">
        <f t="shared" ca="1" si="41"/>
        <v>1</v>
      </c>
      <c r="AG63" s="72">
        <f t="shared" ca="1" si="42"/>
        <v>0.79999999999999993</v>
      </c>
      <c r="AH63" s="177">
        <f t="shared" si="43"/>
        <v>5.0000000000000009</v>
      </c>
      <c r="AI63" s="185">
        <f t="shared" ca="1" si="44"/>
        <v>40</v>
      </c>
      <c r="AJ63" s="179" t="str">
        <f t="shared" ca="1" si="45"/>
        <v>Q2</v>
      </c>
      <c r="AK63" s="90" t="s">
        <v>338</v>
      </c>
      <c r="AL63" s="101"/>
      <c r="AM63" s="268"/>
      <c r="AN63" s="103" t="s">
        <v>416</v>
      </c>
      <c r="AO63" s="103">
        <v>217000</v>
      </c>
      <c r="AP63" s="108"/>
      <c r="AQ63" s="299"/>
      <c r="AR63" s="327"/>
      <c r="AS63" s="164"/>
      <c r="AT63" s="164">
        <f t="shared" si="46"/>
        <v>232455.82499999998</v>
      </c>
      <c r="AU63" s="320"/>
      <c r="AV63" s="324"/>
      <c r="AW63" s="89"/>
    </row>
    <row r="64" spans="1:49" ht="36" customHeight="1">
      <c r="A64" s="5"/>
      <c r="B64" s="229">
        <v>60</v>
      </c>
      <c r="C64" s="14" t="s">
        <v>20</v>
      </c>
      <c r="D64" s="168" t="s">
        <v>384</v>
      </c>
      <c r="E64" s="280" t="s">
        <v>724</v>
      </c>
      <c r="F64" s="23" t="s">
        <v>715</v>
      </c>
      <c r="G64" s="13"/>
      <c r="H64" s="316">
        <v>219000</v>
      </c>
      <c r="I64" s="50">
        <v>3</v>
      </c>
      <c r="J64" s="156">
        <v>0.3</v>
      </c>
      <c r="K64" s="50"/>
      <c r="L64" s="157"/>
      <c r="M64" s="158">
        <v>7</v>
      </c>
      <c r="N64" s="159">
        <v>5</v>
      </c>
      <c r="O64" s="159">
        <v>3</v>
      </c>
      <c r="P64" s="159">
        <v>8</v>
      </c>
      <c r="Q64" s="159">
        <v>5</v>
      </c>
      <c r="R64" s="159">
        <v>5</v>
      </c>
      <c r="S64" s="159">
        <v>1</v>
      </c>
      <c r="T64" s="160">
        <v>10</v>
      </c>
      <c r="U64" s="245" t="e">
        <f t="shared" ca="1" si="30"/>
        <v>#DIV/0!</v>
      </c>
      <c r="V64" s="245">
        <f t="shared" ca="1" si="31"/>
        <v>0.3</v>
      </c>
      <c r="W64" s="241">
        <f t="shared" si="32"/>
        <v>1.1052631578947369</v>
      </c>
      <c r="X64" s="241">
        <f t="shared" si="33"/>
        <v>0.52631578947368418</v>
      </c>
      <c r="Y64" s="241">
        <f t="shared" si="34"/>
        <v>0.42105263157894735</v>
      </c>
      <c r="Z64" s="241">
        <f t="shared" si="35"/>
        <v>1.4035087719298245</v>
      </c>
      <c r="AA64" s="241">
        <f t="shared" si="36"/>
        <v>0.43859649122807015</v>
      </c>
      <c r="AB64" s="241">
        <f t="shared" si="37"/>
        <v>0.61403508771929827</v>
      </c>
      <c r="AC64" s="241">
        <f t="shared" si="38"/>
        <v>0.10526315789473684</v>
      </c>
      <c r="AD64" s="242">
        <f t="shared" si="39"/>
        <v>1.0526315789473684</v>
      </c>
      <c r="AE64" s="243">
        <f t="shared" si="40"/>
        <v>0.7</v>
      </c>
      <c r="AF64" s="243">
        <f t="shared" ca="1" si="41"/>
        <v>0.7</v>
      </c>
      <c r="AG64" s="202">
        <f t="shared" ca="1" si="42"/>
        <v>0.69999999999999984</v>
      </c>
      <c r="AH64" s="246">
        <f t="shared" si="43"/>
        <v>5.666666666666667</v>
      </c>
      <c r="AI64" s="185">
        <f t="shared" ca="1" si="44"/>
        <v>39.666666666666657</v>
      </c>
      <c r="AJ64" s="179" t="str">
        <f t="shared" ca="1" si="45"/>
        <v>Q4</v>
      </c>
      <c r="AK64" s="88" t="s">
        <v>430</v>
      </c>
      <c r="AL64" s="100"/>
      <c r="AM64" s="268"/>
      <c r="AN64" s="103" t="s">
        <v>416</v>
      </c>
      <c r="AO64" s="103">
        <v>219000</v>
      </c>
      <c r="AP64" s="108"/>
      <c r="AQ64" s="299"/>
      <c r="AR64" s="327"/>
      <c r="AS64" s="164"/>
      <c r="AT64" s="164">
        <f t="shared" si="46"/>
        <v>234598.27499999997</v>
      </c>
      <c r="AU64" s="320"/>
      <c r="AV64" s="324"/>
      <c r="AW64" s="89"/>
    </row>
    <row r="65" spans="1:49" ht="36" customHeight="1">
      <c r="A65" s="5"/>
      <c r="B65" s="229">
        <v>61</v>
      </c>
      <c r="C65" s="14" t="s">
        <v>20</v>
      </c>
      <c r="D65" s="168" t="s">
        <v>384</v>
      </c>
      <c r="E65" s="15" t="s">
        <v>523</v>
      </c>
      <c r="F65" s="30" t="s">
        <v>543</v>
      </c>
      <c r="G65" s="8"/>
      <c r="H65" s="218">
        <v>3100000</v>
      </c>
      <c r="I65" s="50">
        <v>3</v>
      </c>
      <c r="J65" s="56">
        <v>0.4</v>
      </c>
      <c r="K65" s="50"/>
      <c r="L65" s="57"/>
      <c r="M65" s="62">
        <v>8</v>
      </c>
      <c r="N65" s="63">
        <v>8</v>
      </c>
      <c r="O65" s="63">
        <v>2</v>
      </c>
      <c r="P65" s="63">
        <v>6.0000000000000036</v>
      </c>
      <c r="Q65" s="63">
        <v>4</v>
      </c>
      <c r="R65" s="63">
        <v>9</v>
      </c>
      <c r="S65" s="63">
        <v>0</v>
      </c>
      <c r="T65" s="64">
        <v>10</v>
      </c>
      <c r="U65" s="67" t="e">
        <f t="shared" ca="1" si="30"/>
        <v>#DIV/0!</v>
      </c>
      <c r="V65" s="67">
        <f t="shared" ca="1" si="31"/>
        <v>0.4</v>
      </c>
      <c r="W65" s="69">
        <f t="shared" si="32"/>
        <v>1.263157894736842</v>
      </c>
      <c r="X65" s="69">
        <f t="shared" si="33"/>
        <v>0.84210526315789469</v>
      </c>
      <c r="Y65" s="69">
        <f t="shared" si="34"/>
        <v>0.2807017543859649</v>
      </c>
      <c r="Z65" s="69">
        <f t="shared" si="35"/>
        <v>1.052631578947369</v>
      </c>
      <c r="AA65" s="69">
        <f t="shared" si="36"/>
        <v>0.35087719298245612</v>
      </c>
      <c r="AB65" s="69">
        <f t="shared" si="37"/>
        <v>1.1052631578947369</v>
      </c>
      <c r="AC65" s="69">
        <f t="shared" si="38"/>
        <v>0</v>
      </c>
      <c r="AD65" s="70">
        <f t="shared" si="39"/>
        <v>1.0526315789473684</v>
      </c>
      <c r="AE65" s="71">
        <f t="shared" si="40"/>
        <v>0.7</v>
      </c>
      <c r="AF65" s="71">
        <f t="shared" ca="1" si="41"/>
        <v>0.6</v>
      </c>
      <c r="AG65" s="72">
        <f t="shared" ca="1" si="42"/>
        <v>0.66666666666666663</v>
      </c>
      <c r="AH65" s="177">
        <f t="shared" si="43"/>
        <v>5.9473684210526319</v>
      </c>
      <c r="AI65" s="185">
        <f t="shared" ca="1" si="44"/>
        <v>39.649122807017541</v>
      </c>
      <c r="AJ65" s="179" t="str">
        <f t="shared" ca="1" si="45"/>
        <v>Q4</v>
      </c>
      <c r="AK65" s="90" t="s">
        <v>430</v>
      </c>
      <c r="AL65" s="193"/>
      <c r="AM65" s="98"/>
      <c r="AN65" s="98"/>
      <c r="AO65" s="170">
        <v>3100000</v>
      </c>
      <c r="AP65" s="188"/>
      <c r="AQ65" s="298"/>
      <c r="AR65" s="295"/>
      <c r="AS65" s="164"/>
      <c r="AT65" s="164">
        <f t="shared" si="46"/>
        <v>3320797.4999999995</v>
      </c>
      <c r="AU65" s="320"/>
      <c r="AV65" s="324"/>
      <c r="AW65" s="89"/>
    </row>
    <row r="66" spans="1:49" ht="36" customHeight="1">
      <c r="A66" s="5">
        <v>48</v>
      </c>
      <c r="B66" s="229">
        <v>62</v>
      </c>
      <c r="C66" s="6" t="s">
        <v>12</v>
      </c>
      <c r="D66" s="133" t="s">
        <v>7</v>
      </c>
      <c r="E66" s="18" t="s">
        <v>80</v>
      </c>
      <c r="F66" s="20" t="s">
        <v>457</v>
      </c>
      <c r="G66" s="20" t="s">
        <v>654</v>
      </c>
      <c r="H66" s="215">
        <v>163000</v>
      </c>
      <c r="I66" s="51">
        <v>3</v>
      </c>
      <c r="J66" s="56">
        <v>0.3</v>
      </c>
      <c r="K66" s="50"/>
      <c r="L66" s="57"/>
      <c r="M66" s="62">
        <v>8.0000000000000053</v>
      </c>
      <c r="N66" s="63">
        <v>6.0000000000000036</v>
      </c>
      <c r="O66" s="63">
        <v>3</v>
      </c>
      <c r="P66" s="63">
        <v>8.0000000000000053</v>
      </c>
      <c r="Q66" s="63">
        <v>4</v>
      </c>
      <c r="R66" s="63">
        <v>4.0000000000000027</v>
      </c>
      <c r="S66" s="63">
        <v>0</v>
      </c>
      <c r="T66" s="64">
        <v>9.9999999999999982</v>
      </c>
      <c r="U66" s="67" t="e">
        <f t="shared" ca="1" si="30"/>
        <v>#DIV/0!</v>
      </c>
      <c r="V66" s="67">
        <f t="shared" ca="1" si="31"/>
        <v>0.3</v>
      </c>
      <c r="W66" s="69">
        <f t="shared" si="32"/>
        <v>1.2631578947368429</v>
      </c>
      <c r="X66" s="69">
        <f t="shared" si="33"/>
        <v>0.63157894736842146</v>
      </c>
      <c r="Y66" s="69">
        <f t="shared" si="34"/>
        <v>0.42105263157894735</v>
      </c>
      <c r="Z66" s="69">
        <f t="shared" si="35"/>
        <v>1.4035087719298256</v>
      </c>
      <c r="AA66" s="69">
        <f t="shared" si="36"/>
        <v>0.35087719298245612</v>
      </c>
      <c r="AB66" s="69">
        <f t="shared" si="37"/>
        <v>0.4912280701754389</v>
      </c>
      <c r="AC66" s="69">
        <f t="shared" si="38"/>
        <v>0</v>
      </c>
      <c r="AD66" s="70">
        <f t="shared" si="39"/>
        <v>1.0526315789473681</v>
      </c>
      <c r="AE66" s="71">
        <f t="shared" si="40"/>
        <v>0.7</v>
      </c>
      <c r="AF66" s="71">
        <f t="shared" ca="1" si="41"/>
        <v>0.7</v>
      </c>
      <c r="AG66" s="72">
        <f t="shared" ca="1" si="42"/>
        <v>0.69999999999999984</v>
      </c>
      <c r="AH66" s="177">
        <f t="shared" si="43"/>
        <v>5.6140350877193006</v>
      </c>
      <c r="AI66" s="185">
        <f t="shared" ca="1" si="44"/>
        <v>39.298245614035096</v>
      </c>
      <c r="AJ66" s="179" t="str">
        <f t="shared" ca="1" si="45"/>
        <v>Q4</v>
      </c>
      <c r="AK66" s="90" t="s">
        <v>329</v>
      </c>
      <c r="AL66" s="195"/>
      <c r="AM66" s="109"/>
      <c r="AN66" s="103"/>
      <c r="AO66" s="107">
        <v>163000</v>
      </c>
      <c r="AP66" s="108"/>
      <c r="AQ66" s="299"/>
      <c r="AR66" s="295"/>
      <c r="AS66" s="164"/>
      <c r="AT66" s="164">
        <f t="shared" si="46"/>
        <v>174609.67499999999</v>
      </c>
      <c r="AU66" s="320"/>
      <c r="AV66" s="324"/>
      <c r="AW66" s="89"/>
    </row>
    <row r="67" spans="1:49" ht="36" customHeight="1">
      <c r="A67" s="5"/>
      <c r="B67" s="229">
        <v>63</v>
      </c>
      <c r="C67" s="14" t="s">
        <v>20</v>
      </c>
      <c r="D67" s="168" t="s">
        <v>384</v>
      </c>
      <c r="E67" s="7" t="s">
        <v>431</v>
      </c>
      <c r="F67" s="9" t="s">
        <v>722</v>
      </c>
      <c r="G67" s="8" t="s">
        <v>432</v>
      </c>
      <c r="H67" s="219">
        <v>150000</v>
      </c>
      <c r="I67" s="50">
        <v>1</v>
      </c>
      <c r="J67" s="156">
        <v>0.1</v>
      </c>
      <c r="K67" s="50"/>
      <c r="L67" s="157"/>
      <c r="M67" s="158">
        <v>4</v>
      </c>
      <c r="N67" s="159">
        <v>6</v>
      </c>
      <c r="O67" s="159">
        <v>0</v>
      </c>
      <c r="P67" s="159">
        <v>6</v>
      </c>
      <c r="Q67" s="159">
        <v>0</v>
      </c>
      <c r="R67" s="159">
        <v>8</v>
      </c>
      <c r="S67" s="159">
        <v>0</v>
      </c>
      <c r="T67" s="160">
        <v>10</v>
      </c>
      <c r="U67" s="245" t="e">
        <f t="shared" ca="1" si="30"/>
        <v>#DIV/0!</v>
      </c>
      <c r="V67" s="245">
        <f t="shared" ca="1" si="31"/>
        <v>0.1</v>
      </c>
      <c r="W67" s="241">
        <f t="shared" si="32"/>
        <v>0.63157894736842102</v>
      </c>
      <c r="X67" s="241">
        <f t="shared" si="33"/>
        <v>0.63157894736842102</v>
      </c>
      <c r="Y67" s="241">
        <f t="shared" si="34"/>
        <v>0</v>
      </c>
      <c r="Z67" s="241">
        <f t="shared" si="35"/>
        <v>1.0526315789473684</v>
      </c>
      <c r="AA67" s="241">
        <f t="shared" si="36"/>
        <v>0</v>
      </c>
      <c r="AB67" s="241">
        <f t="shared" si="37"/>
        <v>0.98245614035087714</v>
      </c>
      <c r="AC67" s="241">
        <f t="shared" si="38"/>
        <v>0</v>
      </c>
      <c r="AD67" s="242">
        <f t="shared" si="39"/>
        <v>1.0526315789473684</v>
      </c>
      <c r="AE67" s="243">
        <f t="shared" si="40"/>
        <v>0.9</v>
      </c>
      <c r="AF67" s="243">
        <f t="shared" ca="1" si="41"/>
        <v>0.9</v>
      </c>
      <c r="AG67" s="202">
        <f t="shared" ca="1" si="42"/>
        <v>0.9</v>
      </c>
      <c r="AH67" s="246">
        <f t="shared" si="43"/>
        <v>4.3508771929824563</v>
      </c>
      <c r="AI67" s="185">
        <f t="shared" ca="1" si="44"/>
        <v>39.15789473684211</v>
      </c>
      <c r="AJ67" s="179" t="str">
        <f t="shared" ca="1" si="45"/>
        <v>Q2</v>
      </c>
      <c r="AK67" s="88" t="s">
        <v>662</v>
      </c>
      <c r="AL67" s="193"/>
      <c r="AM67" s="103"/>
      <c r="AN67" s="103"/>
      <c r="AO67" s="103">
        <v>150000</v>
      </c>
      <c r="AP67" s="108"/>
      <c r="AQ67" s="299"/>
      <c r="AR67" s="295"/>
      <c r="AS67" s="164"/>
      <c r="AT67" s="164">
        <f t="shared" si="46"/>
        <v>160683.74999999997</v>
      </c>
      <c r="AU67" s="320"/>
      <c r="AV67" s="324"/>
      <c r="AW67" s="89"/>
    </row>
    <row r="68" spans="1:49" ht="36" customHeight="1">
      <c r="A68" s="5">
        <v>272</v>
      </c>
      <c r="B68" s="229">
        <v>64</v>
      </c>
      <c r="C68" s="6" t="s">
        <v>20</v>
      </c>
      <c r="D68" s="133" t="s">
        <v>546</v>
      </c>
      <c r="E68" s="10" t="s">
        <v>761</v>
      </c>
      <c r="F68" s="23" t="s">
        <v>672</v>
      </c>
      <c r="G68" s="118" t="s">
        <v>226</v>
      </c>
      <c r="H68" s="215">
        <v>100000</v>
      </c>
      <c r="I68" s="51">
        <v>3</v>
      </c>
      <c r="J68" s="56">
        <v>0.2</v>
      </c>
      <c r="K68" s="50"/>
      <c r="L68" s="57"/>
      <c r="M68" s="62">
        <v>8.0000000000000053</v>
      </c>
      <c r="N68" s="63">
        <v>8.0000000000000053</v>
      </c>
      <c r="O68" s="63">
        <v>4.0000000000000027</v>
      </c>
      <c r="P68" s="63">
        <v>2</v>
      </c>
      <c r="Q68" s="63">
        <v>6</v>
      </c>
      <c r="R68" s="63">
        <v>6.0000000000000036</v>
      </c>
      <c r="S68" s="63">
        <v>0</v>
      </c>
      <c r="T68" s="64">
        <v>9.9999999999999982</v>
      </c>
      <c r="U68" s="67" t="e">
        <f t="shared" ca="1" si="30"/>
        <v>#DIV/0!</v>
      </c>
      <c r="V68" s="67">
        <f t="shared" ca="1" si="31"/>
        <v>0.2</v>
      </c>
      <c r="W68" s="69">
        <f t="shared" si="32"/>
        <v>1.2631578947368429</v>
      </c>
      <c r="X68" s="69">
        <f t="shared" si="33"/>
        <v>0.84210526315789525</v>
      </c>
      <c r="Y68" s="69">
        <f t="shared" si="34"/>
        <v>0.56140350877193024</v>
      </c>
      <c r="Z68" s="69">
        <f t="shared" si="35"/>
        <v>0.35087719298245612</v>
      </c>
      <c r="AA68" s="69">
        <f t="shared" si="36"/>
        <v>0.52631578947368418</v>
      </c>
      <c r="AB68" s="69">
        <f t="shared" si="37"/>
        <v>0.73684210526315841</v>
      </c>
      <c r="AC68" s="69">
        <f t="shared" si="38"/>
        <v>0</v>
      </c>
      <c r="AD68" s="70">
        <f t="shared" si="39"/>
        <v>1.0526315789473681</v>
      </c>
      <c r="AE68" s="71">
        <f t="shared" si="40"/>
        <v>0.7</v>
      </c>
      <c r="AF68" s="71">
        <f t="shared" ca="1" si="41"/>
        <v>0.8</v>
      </c>
      <c r="AG68" s="72">
        <f t="shared" ca="1" si="42"/>
        <v>0.73333333333333339</v>
      </c>
      <c r="AH68" s="177">
        <f t="shared" si="43"/>
        <v>5.3333333333333348</v>
      </c>
      <c r="AI68" s="185">
        <f t="shared" ca="1" si="44"/>
        <v>39.111111111111121</v>
      </c>
      <c r="AJ68" s="179" t="str">
        <f t="shared" ca="1" si="45"/>
        <v>Q4</v>
      </c>
      <c r="AK68" s="90" t="s">
        <v>338</v>
      </c>
      <c r="AL68" s="101"/>
      <c r="AM68" s="269"/>
      <c r="AN68" s="103"/>
      <c r="AO68" s="103">
        <v>100000</v>
      </c>
      <c r="AP68" s="108"/>
      <c r="AQ68" s="299"/>
      <c r="AR68" s="165"/>
      <c r="AS68" s="164"/>
      <c r="AT68" s="164">
        <f t="shared" si="46"/>
        <v>107122.49999999999</v>
      </c>
      <c r="AU68" s="320"/>
      <c r="AV68" s="324"/>
      <c r="AW68" s="89"/>
    </row>
    <row r="69" spans="1:49" ht="36" customHeight="1">
      <c r="A69" s="5">
        <v>93</v>
      </c>
      <c r="B69" s="229">
        <v>65</v>
      </c>
      <c r="C69" s="6" t="s">
        <v>20</v>
      </c>
      <c r="D69" s="133" t="s">
        <v>7</v>
      </c>
      <c r="E69" s="18" t="s">
        <v>559</v>
      </c>
      <c r="F69" s="20" t="s">
        <v>560</v>
      </c>
      <c r="G69" s="20" t="s">
        <v>56</v>
      </c>
      <c r="H69" s="216">
        <v>943000</v>
      </c>
      <c r="I69" s="51">
        <v>2</v>
      </c>
      <c r="J69" s="56">
        <v>0.1</v>
      </c>
      <c r="K69" s="50"/>
      <c r="L69" s="57"/>
      <c r="M69" s="62">
        <v>5</v>
      </c>
      <c r="N69" s="63">
        <v>4</v>
      </c>
      <c r="O69" s="63">
        <v>4</v>
      </c>
      <c r="P69" s="63">
        <v>4.0000000000000027</v>
      </c>
      <c r="Q69" s="63">
        <v>5</v>
      </c>
      <c r="R69" s="63">
        <v>4.0000000000000027</v>
      </c>
      <c r="S69" s="63">
        <v>6</v>
      </c>
      <c r="T69" s="64">
        <v>6.0000000000000036</v>
      </c>
      <c r="U69" s="67" t="e">
        <f t="shared" ca="1" si="30"/>
        <v>#DIV/0!</v>
      </c>
      <c r="V69" s="67">
        <f t="shared" ca="1" si="31"/>
        <v>0.1</v>
      </c>
      <c r="W69" s="69">
        <f t="shared" si="32"/>
        <v>0.78947368421052633</v>
      </c>
      <c r="X69" s="69">
        <f t="shared" si="33"/>
        <v>0.42105263157894735</v>
      </c>
      <c r="Y69" s="69">
        <f t="shared" si="34"/>
        <v>0.56140350877192979</v>
      </c>
      <c r="Z69" s="69">
        <f t="shared" si="35"/>
        <v>0.7017543859649128</v>
      </c>
      <c r="AA69" s="69">
        <f t="shared" si="36"/>
        <v>0.43859649122807015</v>
      </c>
      <c r="AB69" s="69">
        <f t="shared" si="37"/>
        <v>0.4912280701754389</v>
      </c>
      <c r="AC69" s="69">
        <f t="shared" si="38"/>
        <v>0.63157894736842102</v>
      </c>
      <c r="AD69" s="70">
        <f t="shared" si="39"/>
        <v>0.63157894736842146</v>
      </c>
      <c r="AE69" s="71">
        <f t="shared" si="40"/>
        <v>0.8</v>
      </c>
      <c r="AF69" s="71">
        <f t="shared" ca="1" si="41"/>
        <v>0.9</v>
      </c>
      <c r="AG69" s="72">
        <f t="shared" ca="1" si="42"/>
        <v>0.83333333333333337</v>
      </c>
      <c r="AH69" s="177">
        <f t="shared" si="43"/>
        <v>4.6666666666666679</v>
      </c>
      <c r="AI69" s="185">
        <f t="shared" ca="1" si="44"/>
        <v>38.8888888888889</v>
      </c>
      <c r="AJ69" s="179" t="str">
        <f t="shared" ca="1" si="45"/>
        <v>Q2</v>
      </c>
      <c r="AK69" s="90" t="s">
        <v>338</v>
      </c>
      <c r="AL69" s="101"/>
      <c r="AM69" s="269"/>
      <c r="AN69" s="103"/>
      <c r="AO69" s="103">
        <v>943000</v>
      </c>
      <c r="AP69" s="108"/>
      <c r="AQ69" s="299"/>
      <c r="AR69" s="327"/>
      <c r="AS69" s="164"/>
      <c r="AT69" s="164">
        <f t="shared" si="46"/>
        <v>1010165.1749999999</v>
      </c>
      <c r="AU69" s="320"/>
      <c r="AV69" s="324"/>
      <c r="AW69" s="89"/>
    </row>
    <row r="70" spans="1:49" ht="36" customHeight="1">
      <c r="A70" s="5"/>
      <c r="B70" s="229">
        <v>66</v>
      </c>
      <c r="C70" s="6" t="s">
        <v>17</v>
      </c>
      <c r="D70" s="133" t="s">
        <v>19</v>
      </c>
      <c r="E70" s="104" t="s">
        <v>637</v>
      </c>
      <c r="F70" s="24" t="s">
        <v>639</v>
      </c>
      <c r="G70" s="20"/>
      <c r="H70" s="215">
        <v>420000</v>
      </c>
      <c r="I70" s="51">
        <v>3</v>
      </c>
      <c r="J70" s="56">
        <v>0.2</v>
      </c>
      <c r="K70" s="50"/>
      <c r="L70" s="57"/>
      <c r="M70" s="62">
        <v>6.0000000000000036</v>
      </c>
      <c r="N70" s="63">
        <v>6</v>
      </c>
      <c r="O70" s="63">
        <v>6.0000000000000036</v>
      </c>
      <c r="P70" s="63">
        <v>5</v>
      </c>
      <c r="Q70" s="63">
        <v>4.0000000000000027</v>
      </c>
      <c r="R70" s="63">
        <v>4</v>
      </c>
      <c r="S70" s="63">
        <v>2</v>
      </c>
      <c r="T70" s="64">
        <v>9</v>
      </c>
      <c r="U70" s="67" t="e">
        <f t="shared" ca="1" si="30"/>
        <v>#DIV/0!</v>
      </c>
      <c r="V70" s="67">
        <f t="shared" ca="1" si="31"/>
        <v>0.2</v>
      </c>
      <c r="W70" s="69">
        <f t="shared" si="32"/>
        <v>0.94736842105263208</v>
      </c>
      <c r="X70" s="69">
        <f t="shared" si="33"/>
        <v>0.63157894736842102</v>
      </c>
      <c r="Y70" s="69">
        <f t="shared" si="34"/>
        <v>0.84210526315789525</v>
      </c>
      <c r="Z70" s="69">
        <f t="shared" si="35"/>
        <v>0.8771929824561403</v>
      </c>
      <c r="AA70" s="69">
        <f t="shared" si="36"/>
        <v>0.3508771929824564</v>
      </c>
      <c r="AB70" s="69">
        <f t="shared" si="37"/>
        <v>0.49122807017543857</v>
      </c>
      <c r="AC70" s="69">
        <f t="shared" si="38"/>
        <v>0.21052631578947367</v>
      </c>
      <c r="AD70" s="70">
        <f t="shared" si="39"/>
        <v>0.94736842105263153</v>
      </c>
      <c r="AE70" s="71">
        <f t="shared" si="40"/>
        <v>0.7</v>
      </c>
      <c r="AF70" s="71">
        <f t="shared" ca="1" si="41"/>
        <v>0.8</v>
      </c>
      <c r="AG70" s="72">
        <f t="shared" ca="1" si="42"/>
        <v>0.73333333333333339</v>
      </c>
      <c r="AH70" s="177">
        <f t="shared" si="43"/>
        <v>5.2982456140350891</v>
      </c>
      <c r="AI70" s="185">
        <f t="shared" ca="1" si="44"/>
        <v>38.853801169590653</v>
      </c>
      <c r="AJ70" s="179" t="str">
        <f t="shared" ca="1" si="45"/>
        <v>Q4</v>
      </c>
      <c r="AK70" s="90" t="s">
        <v>342</v>
      </c>
      <c r="AL70" s="254">
        <v>120000</v>
      </c>
      <c r="AM70" s="103"/>
      <c r="AN70" s="103"/>
      <c r="AO70" s="103">
        <v>150000</v>
      </c>
      <c r="AP70" s="108">
        <v>150000</v>
      </c>
      <c r="AQ70" s="299" t="s">
        <v>416</v>
      </c>
      <c r="AR70" s="295"/>
      <c r="AS70" s="164"/>
      <c r="AT70" s="164">
        <f t="shared" si="46"/>
        <v>160683.74999999997</v>
      </c>
      <c r="AU70" s="320">
        <f>AP70*(1+Efactor)^3</f>
        <v>166307.68124999997</v>
      </c>
      <c r="AV70" s="324"/>
      <c r="AW70" s="89"/>
    </row>
    <row r="71" spans="1:49" s="124" customFormat="1" ht="36" customHeight="1">
      <c r="A71" s="5"/>
      <c r="B71" s="229">
        <v>67</v>
      </c>
      <c r="C71" s="14" t="s">
        <v>12</v>
      </c>
      <c r="D71" s="168" t="s">
        <v>385</v>
      </c>
      <c r="E71" s="10" t="s">
        <v>492</v>
      </c>
      <c r="F71" s="11" t="s">
        <v>695</v>
      </c>
      <c r="G71" s="117"/>
      <c r="H71" s="213">
        <v>350000</v>
      </c>
      <c r="I71" s="51">
        <v>3</v>
      </c>
      <c r="J71" s="56">
        <v>0.2</v>
      </c>
      <c r="K71" s="50"/>
      <c r="L71" s="57"/>
      <c r="M71" s="62">
        <v>5</v>
      </c>
      <c r="N71" s="63">
        <v>6</v>
      </c>
      <c r="O71" s="63">
        <v>4</v>
      </c>
      <c r="P71" s="63">
        <v>8</v>
      </c>
      <c r="Q71" s="63">
        <v>2</v>
      </c>
      <c r="R71" s="63">
        <v>5</v>
      </c>
      <c r="S71" s="63">
        <v>0</v>
      </c>
      <c r="T71" s="64">
        <v>10</v>
      </c>
      <c r="U71" s="67" t="e">
        <f t="shared" ca="1" si="30"/>
        <v>#DIV/0!</v>
      </c>
      <c r="V71" s="67">
        <f t="shared" ca="1" si="31"/>
        <v>0.2</v>
      </c>
      <c r="W71" s="69">
        <f t="shared" si="32"/>
        <v>0.78947368421052633</v>
      </c>
      <c r="X71" s="69">
        <f t="shared" si="33"/>
        <v>0.63157894736842102</v>
      </c>
      <c r="Y71" s="69">
        <f t="shared" si="34"/>
        <v>0.56140350877192979</v>
      </c>
      <c r="Z71" s="69">
        <f t="shared" si="35"/>
        <v>1.4035087719298245</v>
      </c>
      <c r="AA71" s="69">
        <f t="shared" si="36"/>
        <v>0.17543859649122806</v>
      </c>
      <c r="AB71" s="69">
        <f t="shared" si="37"/>
        <v>0.61403508771929827</v>
      </c>
      <c r="AC71" s="69">
        <f t="shared" si="38"/>
        <v>0</v>
      </c>
      <c r="AD71" s="70">
        <f t="shared" si="39"/>
        <v>1.0526315789473684</v>
      </c>
      <c r="AE71" s="71">
        <f t="shared" si="40"/>
        <v>0.7</v>
      </c>
      <c r="AF71" s="71">
        <f t="shared" ca="1" si="41"/>
        <v>0.8</v>
      </c>
      <c r="AG71" s="72">
        <f t="shared" ca="1" si="42"/>
        <v>0.73333333333333339</v>
      </c>
      <c r="AH71" s="177">
        <f t="shared" si="43"/>
        <v>5.2280701754385959</v>
      </c>
      <c r="AI71" s="185">
        <f t="shared" ca="1" si="44"/>
        <v>38.339181286549703</v>
      </c>
      <c r="AJ71" s="179" t="str">
        <f t="shared" ca="1" si="45"/>
        <v>Q4</v>
      </c>
      <c r="AK71" s="88" t="s">
        <v>347</v>
      </c>
      <c r="AL71" s="195"/>
      <c r="AM71" s="103"/>
      <c r="AN71" s="103"/>
      <c r="AO71" s="103">
        <v>350000</v>
      </c>
      <c r="AP71" s="108"/>
      <c r="AQ71" s="299"/>
      <c r="AR71" s="295"/>
      <c r="AS71" s="164"/>
      <c r="AT71" s="164">
        <f t="shared" si="46"/>
        <v>374928.74999999994</v>
      </c>
      <c r="AU71" s="320"/>
      <c r="AV71" s="324"/>
      <c r="AW71" s="89"/>
    </row>
    <row r="72" spans="1:49" s="127" customFormat="1" ht="36" customHeight="1">
      <c r="A72" s="5">
        <v>83</v>
      </c>
      <c r="B72" s="229">
        <v>68</v>
      </c>
      <c r="C72" s="6" t="s">
        <v>12</v>
      </c>
      <c r="D72" s="133" t="s">
        <v>7</v>
      </c>
      <c r="E72" s="18" t="s">
        <v>399</v>
      </c>
      <c r="F72" s="20" t="s">
        <v>458</v>
      </c>
      <c r="G72" s="20"/>
      <c r="H72" s="216">
        <v>386000</v>
      </c>
      <c r="I72" s="51">
        <v>3</v>
      </c>
      <c r="J72" s="56">
        <v>0.3</v>
      </c>
      <c r="K72" s="50"/>
      <c r="L72" s="57"/>
      <c r="M72" s="62">
        <v>6</v>
      </c>
      <c r="N72" s="63">
        <v>1</v>
      </c>
      <c r="O72" s="63">
        <v>6.0000000000000036</v>
      </c>
      <c r="P72" s="63">
        <v>6.0000000000000036</v>
      </c>
      <c r="Q72" s="63">
        <v>6.0000000000000036</v>
      </c>
      <c r="R72" s="63">
        <v>6.0000000000000036</v>
      </c>
      <c r="S72" s="63">
        <v>4</v>
      </c>
      <c r="T72" s="64">
        <v>8.0000000000000053</v>
      </c>
      <c r="U72" s="67" t="e">
        <f t="shared" ca="1" si="30"/>
        <v>#DIV/0!</v>
      </c>
      <c r="V72" s="67">
        <f t="shared" ca="1" si="31"/>
        <v>0.3</v>
      </c>
      <c r="W72" s="69">
        <f t="shared" si="32"/>
        <v>0.94736842105263153</v>
      </c>
      <c r="X72" s="69">
        <f t="shared" si="33"/>
        <v>0.10526315789473684</v>
      </c>
      <c r="Y72" s="69">
        <f t="shared" si="34"/>
        <v>0.84210526315789525</v>
      </c>
      <c r="Z72" s="69">
        <f t="shared" si="35"/>
        <v>1.052631578947369</v>
      </c>
      <c r="AA72" s="69">
        <f t="shared" si="36"/>
        <v>0.52631578947368451</v>
      </c>
      <c r="AB72" s="69">
        <f t="shared" si="37"/>
        <v>0.73684210526315841</v>
      </c>
      <c r="AC72" s="69">
        <f t="shared" si="38"/>
        <v>0.42105263157894735</v>
      </c>
      <c r="AD72" s="70">
        <f t="shared" si="39"/>
        <v>0.84210526315789525</v>
      </c>
      <c r="AE72" s="71">
        <f t="shared" si="40"/>
        <v>0.7</v>
      </c>
      <c r="AF72" s="71">
        <f t="shared" ca="1" si="41"/>
        <v>0.7</v>
      </c>
      <c r="AG72" s="72">
        <f t="shared" ca="1" si="42"/>
        <v>0.69999999999999984</v>
      </c>
      <c r="AH72" s="177">
        <f t="shared" si="43"/>
        <v>5.4736842105263186</v>
      </c>
      <c r="AI72" s="185">
        <f t="shared" ca="1" si="44"/>
        <v>38.31578947368422</v>
      </c>
      <c r="AJ72" s="179" t="str">
        <f t="shared" ca="1" si="45"/>
        <v>Q4</v>
      </c>
      <c r="AK72" s="90" t="s">
        <v>329</v>
      </c>
      <c r="AL72" s="101"/>
      <c r="AM72" s="269"/>
      <c r="AN72" s="183"/>
      <c r="AO72" s="103">
        <v>386000</v>
      </c>
      <c r="AP72" s="108"/>
      <c r="AQ72" s="299"/>
      <c r="AR72" s="165"/>
      <c r="AS72" s="164"/>
      <c r="AT72" s="164">
        <f t="shared" si="46"/>
        <v>413492.85</v>
      </c>
      <c r="AU72" s="320"/>
      <c r="AV72" s="324"/>
      <c r="AW72" s="89"/>
    </row>
    <row r="73" spans="1:49" s="127" customFormat="1" ht="36" customHeight="1">
      <c r="A73" s="5">
        <v>84</v>
      </c>
      <c r="B73" s="229">
        <v>69</v>
      </c>
      <c r="C73" s="6" t="s">
        <v>12</v>
      </c>
      <c r="D73" s="133" t="s">
        <v>7</v>
      </c>
      <c r="E73" s="18" t="s">
        <v>50</v>
      </c>
      <c r="F73" s="19" t="s">
        <v>51</v>
      </c>
      <c r="G73" s="20"/>
      <c r="H73" s="215">
        <v>87000</v>
      </c>
      <c r="I73" s="51">
        <v>3</v>
      </c>
      <c r="J73" s="56">
        <v>0.3</v>
      </c>
      <c r="K73" s="50"/>
      <c r="L73" s="57"/>
      <c r="M73" s="62">
        <v>6</v>
      </c>
      <c r="N73" s="63">
        <v>1</v>
      </c>
      <c r="O73" s="63">
        <v>6.0000000000000036</v>
      </c>
      <c r="P73" s="63">
        <v>6.0000000000000036</v>
      </c>
      <c r="Q73" s="63">
        <v>6.0000000000000036</v>
      </c>
      <c r="R73" s="63">
        <v>6.0000000000000036</v>
      </c>
      <c r="S73" s="63">
        <v>4</v>
      </c>
      <c r="T73" s="64">
        <v>8.0000000000000053</v>
      </c>
      <c r="U73" s="67" t="e">
        <f t="shared" ca="1" si="30"/>
        <v>#DIV/0!</v>
      </c>
      <c r="V73" s="67">
        <f t="shared" ca="1" si="31"/>
        <v>0.3</v>
      </c>
      <c r="W73" s="69">
        <f t="shared" si="32"/>
        <v>0.94736842105263153</v>
      </c>
      <c r="X73" s="69">
        <f t="shared" si="33"/>
        <v>0.10526315789473684</v>
      </c>
      <c r="Y73" s="69">
        <f t="shared" si="34"/>
        <v>0.84210526315789525</v>
      </c>
      <c r="Z73" s="69">
        <f t="shared" si="35"/>
        <v>1.052631578947369</v>
      </c>
      <c r="AA73" s="69">
        <f t="shared" si="36"/>
        <v>0.52631578947368451</v>
      </c>
      <c r="AB73" s="69">
        <f t="shared" si="37"/>
        <v>0.73684210526315841</v>
      </c>
      <c r="AC73" s="69">
        <f t="shared" si="38"/>
        <v>0.42105263157894735</v>
      </c>
      <c r="AD73" s="70">
        <f t="shared" si="39"/>
        <v>0.84210526315789525</v>
      </c>
      <c r="AE73" s="71">
        <f t="shared" si="40"/>
        <v>0.7</v>
      </c>
      <c r="AF73" s="71">
        <f t="shared" ca="1" si="41"/>
        <v>0.7</v>
      </c>
      <c r="AG73" s="72">
        <f t="shared" ca="1" si="42"/>
        <v>0.69999999999999984</v>
      </c>
      <c r="AH73" s="177">
        <f t="shared" si="43"/>
        <v>5.4736842105263186</v>
      </c>
      <c r="AI73" s="185">
        <f t="shared" ca="1" si="44"/>
        <v>38.31578947368422</v>
      </c>
      <c r="AJ73" s="179" t="str">
        <f t="shared" ca="1" si="45"/>
        <v>Q4</v>
      </c>
      <c r="AK73" s="90" t="s">
        <v>329</v>
      </c>
      <c r="AL73" s="101"/>
      <c r="AM73" s="268"/>
      <c r="AN73" s="183"/>
      <c r="AO73" s="103">
        <v>87000</v>
      </c>
      <c r="AP73" s="108"/>
      <c r="AQ73" s="299"/>
      <c r="AR73" s="327"/>
      <c r="AS73" s="164"/>
      <c r="AT73" s="164">
        <f t="shared" si="46"/>
        <v>93196.574999999983</v>
      </c>
      <c r="AU73" s="320"/>
      <c r="AV73" s="324"/>
      <c r="AW73" s="89"/>
    </row>
    <row r="74" spans="1:49" ht="36" customHeight="1">
      <c r="A74" s="5"/>
      <c r="B74" s="229">
        <v>70</v>
      </c>
      <c r="C74" s="6" t="s">
        <v>20</v>
      </c>
      <c r="D74" s="133" t="s">
        <v>384</v>
      </c>
      <c r="E74" s="18" t="s">
        <v>533</v>
      </c>
      <c r="F74" s="19" t="s">
        <v>534</v>
      </c>
      <c r="G74" s="20"/>
      <c r="H74" s="215">
        <v>125000</v>
      </c>
      <c r="I74" s="51">
        <v>1</v>
      </c>
      <c r="J74" s="56">
        <v>0</v>
      </c>
      <c r="K74" s="50"/>
      <c r="L74" s="57"/>
      <c r="M74" s="62">
        <v>4</v>
      </c>
      <c r="N74" s="63">
        <v>5</v>
      </c>
      <c r="O74" s="63">
        <v>2</v>
      </c>
      <c r="P74" s="63">
        <v>5</v>
      </c>
      <c r="Q74" s="63">
        <v>6</v>
      </c>
      <c r="R74" s="63">
        <v>4</v>
      </c>
      <c r="S74" s="63">
        <v>0</v>
      </c>
      <c r="T74" s="64">
        <v>7</v>
      </c>
      <c r="U74" s="67" t="e">
        <f t="shared" ca="1" si="30"/>
        <v>#DIV/0!</v>
      </c>
      <c r="V74" s="67">
        <f t="shared" ca="1" si="31"/>
        <v>0</v>
      </c>
      <c r="W74" s="69">
        <f t="shared" si="32"/>
        <v>0.63157894736842102</v>
      </c>
      <c r="X74" s="69">
        <f t="shared" si="33"/>
        <v>0.52631578947368418</v>
      </c>
      <c r="Y74" s="69">
        <f t="shared" si="34"/>
        <v>0.2807017543859649</v>
      </c>
      <c r="Z74" s="69">
        <f t="shared" si="35"/>
        <v>0.8771929824561403</v>
      </c>
      <c r="AA74" s="69">
        <f t="shared" si="36"/>
        <v>0.52631578947368418</v>
      </c>
      <c r="AB74" s="69">
        <f t="shared" si="37"/>
        <v>0.49122807017543857</v>
      </c>
      <c r="AC74" s="69">
        <f t="shared" si="38"/>
        <v>0</v>
      </c>
      <c r="AD74" s="70">
        <f t="shared" si="39"/>
        <v>0.73684210526315785</v>
      </c>
      <c r="AE74" s="71">
        <f t="shared" si="40"/>
        <v>0.9</v>
      </c>
      <c r="AF74" s="71">
        <f t="shared" ca="1" si="41"/>
        <v>1</v>
      </c>
      <c r="AG74" s="72">
        <f t="shared" ca="1" si="42"/>
        <v>0.93333333333333324</v>
      </c>
      <c r="AH74" s="177">
        <f t="shared" si="43"/>
        <v>4.0701754385964906</v>
      </c>
      <c r="AI74" s="185">
        <f t="shared" ca="1" si="44"/>
        <v>37.988304093567244</v>
      </c>
      <c r="AJ74" s="179" t="str">
        <f t="shared" ca="1" si="45"/>
        <v>Q2</v>
      </c>
      <c r="AK74" s="90" t="s">
        <v>430</v>
      </c>
      <c r="AL74" s="278"/>
      <c r="AM74" s="268"/>
      <c r="AN74" s="103"/>
      <c r="AO74" s="103">
        <v>125000</v>
      </c>
      <c r="AP74" s="108"/>
      <c r="AQ74" s="299"/>
      <c r="AR74" s="327"/>
      <c r="AS74" s="164"/>
      <c r="AT74" s="164">
        <f t="shared" si="46"/>
        <v>133903.12499999997</v>
      </c>
      <c r="AU74" s="320"/>
      <c r="AV74" s="324"/>
      <c r="AW74" s="89"/>
    </row>
    <row r="75" spans="1:49" ht="36" customHeight="1">
      <c r="A75" s="5">
        <v>359</v>
      </c>
      <c r="B75" s="229">
        <v>71</v>
      </c>
      <c r="C75" s="6" t="s">
        <v>9</v>
      </c>
      <c r="D75" s="133" t="s">
        <v>10</v>
      </c>
      <c r="E75" s="32" t="s">
        <v>310</v>
      </c>
      <c r="F75" s="28" t="s">
        <v>645</v>
      </c>
      <c r="G75" s="23" t="s">
        <v>426</v>
      </c>
      <c r="H75" s="216">
        <v>643000</v>
      </c>
      <c r="I75" s="51">
        <v>3</v>
      </c>
      <c r="J75" s="56">
        <v>0.2</v>
      </c>
      <c r="K75" s="50"/>
      <c r="L75" s="57"/>
      <c r="M75" s="62">
        <v>4.0000000000000027</v>
      </c>
      <c r="N75" s="63">
        <v>6.0000000000000036</v>
      </c>
      <c r="O75" s="63">
        <v>4.0000000000000027</v>
      </c>
      <c r="P75" s="63">
        <v>6.0000000000000036</v>
      </c>
      <c r="Q75" s="63">
        <v>7</v>
      </c>
      <c r="R75" s="63">
        <v>6.0000000000000036</v>
      </c>
      <c r="S75" s="63">
        <v>0</v>
      </c>
      <c r="T75" s="64">
        <v>9</v>
      </c>
      <c r="U75" s="67" t="e">
        <f t="shared" ca="1" si="30"/>
        <v>#DIV/0!</v>
      </c>
      <c r="V75" s="67">
        <f t="shared" ca="1" si="31"/>
        <v>0.2</v>
      </c>
      <c r="W75" s="69">
        <f t="shared" si="32"/>
        <v>0.63157894736842146</v>
      </c>
      <c r="X75" s="69">
        <f t="shared" si="33"/>
        <v>0.63157894736842146</v>
      </c>
      <c r="Y75" s="69">
        <f t="shared" si="34"/>
        <v>0.56140350877193024</v>
      </c>
      <c r="Z75" s="69">
        <f t="shared" si="35"/>
        <v>1.052631578947369</v>
      </c>
      <c r="AA75" s="69">
        <f t="shared" si="36"/>
        <v>0.61403508771929827</v>
      </c>
      <c r="AB75" s="69">
        <f t="shared" si="37"/>
        <v>0.73684210526315841</v>
      </c>
      <c r="AC75" s="69">
        <f t="shared" si="38"/>
        <v>0</v>
      </c>
      <c r="AD75" s="70">
        <f t="shared" si="39"/>
        <v>0.94736842105263153</v>
      </c>
      <c r="AE75" s="71">
        <f t="shared" si="40"/>
        <v>0.7</v>
      </c>
      <c r="AF75" s="71">
        <f t="shared" ca="1" si="41"/>
        <v>0.8</v>
      </c>
      <c r="AG75" s="72">
        <f t="shared" ca="1" si="42"/>
        <v>0.73333333333333339</v>
      </c>
      <c r="AH75" s="177">
        <f t="shared" si="43"/>
        <v>5.1754385964912313</v>
      </c>
      <c r="AI75" s="185">
        <f t="shared" ca="1" si="44"/>
        <v>37.953216374269033</v>
      </c>
      <c r="AJ75" s="179" t="str">
        <f t="shared" ca="1" si="45"/>
        <v>Q4</v>
      </c>
      <c r="AK75" s="90" t="s">
        <v>342</v>
      </c>
      <c r="AL75" s="101"/>
      <c r="AM75" s="268"/>
      <c r="AN75" s="103"/>
      <c r="AO75" s="103">
        <v>643000</v>
      </c>
      <c r="AP75" s="108"/>
      <c r="AQ75" s="299"/>
      <c r="AR75" s="327"/>
      <c r="AS75" s="164"/>
      <c r="AT75" s="164">
        <f t="shared" si="46"/>
        <v>688797.67499999993</v>
      </c>
      <c r="AU75" s="320"/>
      <c r="AV75" s="324"/>
      <c r="AW75" s="89"/>
    </row>
    <row r="76" spans="1:49" ht="36" customHeight="1">
      <c r="A76" s="5"/>
      <c r="B76" s="229">
        <v>72</v>
      </c>
      <c r="C76" s="6" t="s">
        <v>6</v>
      </c>
      <c r="D76" s="133" t="s">
        <v>7</v>
      </c>
      <c r="E76" s="18" t="s">
        <v>392</v>
      </c>
      <c r="F76" s="19" t="s">
        <v>728</v>
      </c>
      <c r="G76" s="20"/>
      <c r="H76" s="215">
        <v>400000</v>
      </c>
      <c r="I76" s="51">
        <v>3</v>
      </c>
      <c r="J76" s="56">
        <v>0.2</v>
      </c>
      <c r="K76" s="50"/>
      <c r="L76" s="57"/>
      <c r="M76" s="62">
        <v>6</v>
      </c>
      <c r="N76" s="63">
        <v>6</v>
      </c>
      <c r="O76" s="63">
        <v>3</v>
      </c>
      <c r="P76" s="63">
        <v>4</v>
      </c>
      <c r="Q76" s="63">
        <v>3</v>
      </c>
      <c r="R76" s="63">
        <v>5</v>
      </c>
      <c r="S76" s="63">
        <v>7</v>
      </c>
      <c r="T76" s="64">
        <v>8</v>
      </c>
      <c r="U76" s="67" t="e">
        <f t="shared" ca="1" si="30"/>
        <v>#DIV/0!</v>
      </c>
      <c r="V76" s="67">
        <f t="shared" ca="1" si="31"/>
        <v>0.2</v>
      </c>
      <c r="W76" s="69">
        <f t="shared" si="32"/>
        <v>0.94736842105263153</v>
      </c>
      <c r="X76" s="69">
        <f t="shared" si="33"/>
        <v>0.63157894736842102</v>
      </c>
      <c r="Y76" s="69">
        <f t="shared" si="34"/>
        <v>0.42105263157894735</v>
      </c>
      <c r="Z76" s="69">
        <f t="shared" si="35"/>
        <v>0.70175438596491224</v>
      </c>
      <c r="AA76" s="69">
        <f t="shared" si="36"/>
        <v>0.26315789473684209</v>
      </c>
      <c r="AB76" s="69">
        <f t="shared" si="37"/>
        <v>0.61403508771929827</v>
      </c>
      <c r="AC76" s="69">
        <f t="shared" si="38"/>
        <v>0.73684210526315785</v>
      </c>
      <c r="AD76" s="70">
        <f t="shared" si="39"/>
        <v>0.84210526315789469</v>
      </c>
      <c r="AE76" s="71">
        <f t="shared" si="40"/>
        <v>0.7</v>
      </c>
      <c r="AF76" s="71">
        <f t="shared" ca="1" si="41"/>
        <v>0.8</v>
      </c>
      <c r="AG76" s="72">
        <f t="shared" ca="1" si="42"/>
        <v>0.73333333333333339</v>
      </c>
      <c r="AH76" s="177">
        <f t="shared" si="43"/>
        <v>5.1578947368421053</v>
      </c>
      <c r="AI76" s="185">
        <f t="shared" ca="1" si="44"/>
        <v>37.824561403508774</v>
      </c>
      <c r="AJ76" s="179" t="str">
        <f t="shared" ca="1" si="45"/>
        <v>Q4</v>
      </c>
      <c r="AK76" s="86" t="s">
        <v>329</v>
      </c>
      <c r="AL76" s="100"/>
      <c r="AM76" s="268"/>
      <c r="AN76" s="109"/>
      <c r="AO76" s="103">
        <v>400000</v>
      </c>
      <c r="AP76" s="108"/>
      <c r="AQ76" s="299"/>
      <c r="AR76" s="327"/>
      <c r="AS76" s="164"/>
      <c r="AT76" s="164">
        <f t="shared" si="46"/>
        <v>428489.99999999994</v>
      </c>
      <c r="AU76" s="320"/>
      <c r="AV76" s="324"/>
      <c r="AW76" s="89"/>
    </row>
    <row r="77" spans="1:49" ht="36" customHeight="1">
      <c r="A77" s="5">
        <v>124</v>
      </c>
      <c r="B77" s="229">
        <v>73</v>
      </c>
      <c r="C77" s="6" t="s">
        <v>20</v>
      </c>
      <c r="D77" s="133" t="s">
        <v>384</v>
      </c>
      <c r="E77" s="18" t="s">
        <v>439</v>
      </c>
      <c r="F77" s="20" t="s">
        <v>443</v>
      </c>
      <c r="G77" s="20"/>
      <c r="H77" s="216">
        <v>150000</v>
      </c>
      <c r="I77" s="51">
        <v>3</v>
      </c>
      <c r="J77" s="56">
        <v>0.3</v>
      </c>
      <c r="K77" s="50"/>
      <c r="L77" s="57"/>
      <c r="M77" s="62">
        <v>4</v>
      </c>
      <c r="N77" s="63">
        <v>6</v>
      </c>
      <c r="O77" s="63">
        <v>2</v>
      </c>
      <c r="P77" s="63">
        <v>8</v>
      </c>
      <c r="Q77" s="63">
        <v>2</v>
      </c>
      <c r="R77" s="63">
        <v>10</v>
      </c>
      <c r="S77" s="63">
        <v>0</v>
      </c>
      <c r="T77" s="64">
        <v>10</v>
      </c>
      <c r="U77" s="67" t="e">
        <f t="shared" ca="1" si="30"/>
        <v>#DIV/0!</v>
      </c>
      <c r="V77" s="67">
        <f t="shared" ca="1" si="31"/>
        <v>0.3</v>
      </c>
      <c r="W77" s="69">
        <f t="shared" si="32"/>
        <v>0.63157894736842102</v>
      </c>
      <c r="X77" s="69">
        <f t="shared" si="33"/>
        <v>0.63157894736842102</v>
      </c>
      <c r="Y77" s="69">
        <f t="shared" si="34"/>
        <v>0.2807017543859649</v>
      </c>
      <c r="Z77" s="69">
        <f t="shared" si="35"/>
        <v>1.4035087719298245</v>
      </c>
      <c r="AA77" s="69">
        <f t="shared" si="36"/>
        <v>0.17543859649122806</v>
      </c>
      <c r="AB77" s="69">
        <f t="shared" si="37"/>
        <v>1.2280701754385965</v>
      </c>
      <c r="AC77" s="69">
        <f t="shared" si="38"/>
        <v>0</v>
      </c>
      <c r="AD77" s="70">
        <f t="shared" si="39"/>
        <v>1.0526315789473684</v>
      </c>
      <c r="AE77" s="71">
        <f t="shared" si="40"/>
        <v>0.7</v>
      </c>
      <c r="AF77" s="71">
        <f t="shared" ca="1" si="41"/>
        <v>0.7</v>
      </c>
      <c r="AG77" s="72">
        <f t="shared" ca="1" si="42"/>
        <v>0.69999999999999984</v>
      </c>
      <c r="AH77" s="177">
        <f t="shared" si="43"/>
        <v>5.4035087719298245</v>
      </c>
      <c r="AI77" s="185">
        <f t="shared" ca="1" si="44"/>
        <v>37.824561403508767</v>
      </c>
      <c r="AJ77" s="179" t="str">
        <f t="shared" ca="1" si="45"/>
        <v>Q4</v>
      </c>
      <c r="AK77" s="90" t="s">
        <v>430</v>
      </c>
      <c r="AL77" s="101"/>
      <c r="AM77" s="269"/>
      <c r="AN77" s="103"/>
      <c r="AO77" s="103">
        <v>150000</v>
      </c>
      <c r="AP77" s="108"/>
      <c r="AQ77" s="299"/>
      <c r="AR77" s="327"/>
      <c r="AS77" s="164"/>
      <c r="AT77" s="164">
        <f t="shared" si="46"/>
        <v>160683.74999999997</v>
      </c>
      <c r="AU77" s="320"/>
      <c r="AV77" s="324"/>
      <c r="AW77" s="89"/>
    </row>
    <row r="78" spans="1:49" ht="36" customHeight="1">
      <c r="A78" s="5"/>
      <c r="B78" s="229">
        <v>74</v>
      </c>
      <c r="C78" s="6" t="s">
        <v>20</v>
      </c>
      <c r="D78" s="133" t="s">
        <v>385</v>
      </c>
      <c r="E78" s="21" t="s">
        <v>445</v>
      </c>
      <c r="F78" s="13" t="s">
        <v>623</v>
      </c>
      <c r="G78" s="114" t="s">
        <v>33</v>
      </c>
      <c r="H78" s="215">
        <v>300000</v>
      </c>
      <c r="I78" s="51">
        <v>3</v>
      </c>
      <c r="J78" s="56">
        <v>0.3</v>
      </c>
      <c r="K78" s="50"/>
      <c r="L78" s="57"/>
      <c r="M78" s="62">
        <v>8.0000000000000053</v>
      </c>
      <c r="N78" s="63">
        <v>8.0000000000000053</v>
      </c>
      <c r="O78" s="63">
        <v>4</v>
      </c>
      <c r="P78" s="63">
        <v>4</v>
      </c>
      <c r="Q78" s="63">
        <v>4</v>
      </c>
      <c r="R78" s="63">
        <v>6</v>
      </c>
      <c r="S78" s="63">
        <v>1</v>
      </c>
      <c r="T78" s="64">
        <v>8</v>
      </c>
      <c r="U78" s="67" t="e">
        <f t="shared" ca="1" si="30"/>
        <v>#DIV/0!</v>
      </c>
      <c r="V78" s="67">
        <f t="shared" ca="1" si="31"/>
        <v>0.3</v>
      </c>
      <c r="W78" s="69">
        <f t="shared" si="32"/>
        <v>1.2631578947368429</v>
      </c>
      <c r="X78" s="69">
        <f t="shared" si="33"/>
        <v>0.84210526315789525</v>
      </c>
      <c r="Y78" s="69">
        <f t="shared" si="34"/>
        <v>0.56140350877192979</v>
      </c>
      <c r="Z78" s="69">
        <f t="shared" si="35"/>
        <v>0.70175438596491224</v>
      </c>
      <c r="AA78" s="69">
        <f t="shared" si="36"/>
        <v>0.35087719298245612</v>
      </c>
      <c r="AB78" s="69">
        <f t="shared" si="37"/>
        <v>0.73684210526315785</v>
      </c>
      <c r="AC78" s="69">
        <f t="shared" si="38"/>
        <v>0.10526315789473684</v>
      </c>
      <c r="AD78" s="70">
        <f t="shared" si="39"/>
        <v>0.84210526315789469</v>
      </c>
      <c r="AE78" s="71">
        <f t="shared" si="40"/>
        <v>0.7</v>
      </c>
      <c r="AF78" s="71">
        <f t="shared" ca="1" si="41"/>
        <v>0.7</v>
      </c>
      <c r="AG78" s="72">
        <f t="shared" ca="1" si="42"/>
        <v>0.69999999999999984</v>
      </c>
      <c r="AH78" s="177">
        <f t="shared" si="43"/>
        <v>5.4035087719298254</v>
      </c>
      <c r="AI78" s="185">
        <f t="shared" ca="1" si="44"/>
        <v>37.824561403508767</v>
      </c>
      <c r="AJ78" s="179" t="str">
        <f t="shared" ca="1" si="45"/>
        <v>Q4</v>
      </c>
      <c r="AK78" s="90" t="s">
        <v>329</v>
      </c>
      <c r="AL78" s="101"/>
      <c r="AM78" s="268"/>
      <c r="AN78" s="103"/>
      <c r="AO78" s="103">
        <v>300000</v>
      </c>
      <c r="AP78" s="108"/>
      <c r="AQ78" s="299"/>
      <c r="AR78" s="327"/>
      <c r="AS78" s="164"/>
      <c r="AT78" s="164">
        <f t="shared" si="46"/>
        <v>321367.49999999994</v>
      </c>
      <c r="AU78" s="320"/>
      <c r="AV78" s="324"/>
      <c r="AW78" s="89"/>
    </row>
    <row r="79" spans="1:49" ht="36" customHeight="1">
      <c r="A79" s="5">
        <v>283</v>
      </c>
      <c r="B79" s="229">
        <v>75</v>
      </c>
      <c r="C79" s="6" t="s">
        <v>14</v>
      </c>
      <c r="D79" s="133" t="s">
        <v>385</v>
      </c>
      <c r="E79" s="10" t="s">
        <v>631</v>
      </c>
      <c r="F79" s="17" t="s">
        <v>633</v>
      </c>
      <c r="G79" s="17" t="s">
        <v>235</v>
      </c>
      <c r="H79" s="215">
        <v>130000</v>
      </c>
      <c r="I79" s="51">
        <v>4</v>
      </c>
      <c r="J79" s="56">
        <v>0.3</v>
      </c>
      <c r="K79" s="50"/>
      <c r="L79" s="57"/>
      <c r="M79" s="62">
        <v>6.0000000000000036</v>
      </c>
      <c r="N79" s="63">
        <v>8.0000000000000053</v>
      </c>
      <c r="O79" s="63">
        <v>6.0000000000000036</v>
      </c>
      <c r="P79" s="63">
        <v>8.0000000000000053</v>
      </c>
      <c r="Q79" s="63">
        <v>4.0000000000000027</v>
      </c>
      <c r="R79" s="63">
        <v>6.0000000000000036</v>
      </c>
      <c r="S79" s="63">
        <v>2</v>
      </c>
      <c r="T79" s="64">
        <v>6.0000000000000036</v>
      </c>
      <c r="U79" s="67" t="e">
        <f t="shared" ca="1" si="30"/>
        <v>#DIV/0!</v>
      </c>
      <c r="V79" s="67">
        <f t="shared" ca="1" si="31"/>
        <v>0.3</v>
      </c>
      <c r="W79" s="69">
        <f t="shared" si="32"/>
        <v>0.94736842105263208</v>
      </c>
      <c r="X79" s="69">
        <f t="shared" si="33"/>
        <v>0.84210526315789525</v>
      </c>
      <c r="Y79" s="69">
        <f t="shared" si="34"/>
        <v>0.84210526315789525</v>
      </c>
      <c r="Z79" s="69">
        <f t="shared" si="35"/>
        <v>1.4035087719298256</v>
      </c>
      <c r="AA79" s="69">
        <f t="shared" si="36"/>
        <v>0.3508771929824564</v>
      </c>
      <c r="AB79" s="69">
        <f t="shared" si="37"/>
        <v>0.73684210526315841</v>
      </c>
      <c r="AC79" s="69">
        <f t="shared" si="38"/>
        <v>0.21052631578947367</v>
      </c>
      <c r="AD79" s="70">
        <f t="shared" si="39"/>
        <v>0.63157894736842146</v>
      </c>
      <c r="AE79" s="71">
        <f t="shared" si="40"/>
        <v>0.6</v>
      </c>
      <c r="AF79" s="71">
        <f t="shared" ca="1" si="41"/>
        <v>0.7</v>
      </c>
      <c r="AG79" s="72">
        <f t="shared" ca="1" si="42"/>
        <v>0.6333333333333333</v>
      </c>
      <c r="AH79" s="177">
        <f t="shared" si="43"/>
        <v>5.9649122807017578</v>
      </c>
      <c r="AI79" s="185">
        <f t="shared" ca="1" si="44"/>
        <v>37.7777777777778</v>
      </c>
      <c r="AJ79" s="179" t="str">
        <f t="shared" ca="1" si="45"/>
        <v>Q4</v>
      </c>
      <c r="AK79" s="90" t="s">
        <v>342</v>
      </c>
      <c r="AL79" s="101"/>
      <c r="AM79" s="268"/>
      <c r="AN79" s="103"/>
      <c r="AO79" s="169">
        <v>130000</v>
      </c>
      <c r="AP79" s="108"/>
      <c r="AQ79" s="299"/>
      <c r="AR79" s="327"/>
      <c r="AS79" s="164"/>
      <c r="AT79" s="164">
        <f t="shared" si="46"/>
        <v>139259.24999999997</v>
      </c>
      <c r="AU79" s="320"/>
      <c r="AV79" s="324"/>
      <c r="AW79" s="89"/>
    </row>
    <row r="80" spans="1:49" ht="36" customHeight="1">
      <c r="A80" s="5"/>
      <c r="B80" s="229">
        <v>76</v>
      </c>
      <c r="C80" s="6" t="s">
        <v>14</v>
      </c>
      <c r="D80" s="133" t="s">
        <v>385</v>
      </c>
      <c r="E80" s="10" t="s">
        <v>509</v>
      </c>
      <c r="F80" s="11" t="s">
        <v>635</v>
      </c>
      <c r="G80" s="17" t="s">
        <v>235</v>
      </c>
      <c r="H80" s="215">
        <v>120000</v>
      </c>
      <c r="I80" s="51">
        <v>4</v>
      </c>
      <c r="J80" s="56">
        <v>0.3</v>
      </c>
      <c r="K80" s="50"/>
      <c r="L80" s="57"/>
      <c r="M80" s="62">
        <v>6.0000000000000036</v>
      </c>
      <c r="N80" s="63">
        <v>8.0000000000000053</v>
      </c>
      <c r="O80" s="63">
        <v>6.0000000000000036</v>
      </c>
      <c r="P80" s="63">
        <v>8.0000000000000053</v>
      </c>
      <c r="Q80" s="63">
        <v>4.0000000000000027</v>
      </c>
      <c r="R80" s="63">
        <v>6.0000000000000036</v>
      </c>
      <c r="S80" s="63">
        <v>2</v>
      </c>
      <c r="T80" s="64">
        <v>6.0000000000000036</v>
      </c>
      <c r="U80" s="67" t="e">
        <f t="shared" ca="1" si="30"/>
        <v>#DIV/0!</v>
      </c>
      <c r="V80" s="67">
        <f t="shared" ca="1" si="31"/>
        <v>0.3</v>
      </c>
      <c r="W80" s="69">
        <f t="shared" si="32"/>
        <v>0.94736842105263208</v>
      </c>
      <c r="X80" s="69">
        <f t="shared" si="33"/>
        <v>0.84210526315789525</v>
      </c>
      <c r="Y80" s="69">
        <f t="shared" si="34"/>
        <v>0.84210526315789525</v>
      </c>
      <c r="Z80" s="69">
        <f t="shared" si="35"/>
        <v>1.4035087719298256</v>
      </c>
      <c r="AA80" s="69">
        <f t="shared" si="36"/>
        <v>0.3508771929824564</v>
      </c>
      <c r="AB80" s="69">
        <f t="shared" si="37"/>
        <v>0.73684210526315841</v>
      </c>
      <c r="AC80" s="69">
        <f t="shared" si="38"/>
        <v>0.21052631578947367</v>
      </c>
      <c r="AD80" s="70">
        <f t="shared" si="39"/>
        <v>0.63157894736842146</v>
      </c>
      <c r="AE80" s="71">
        <f t="shared" si="40"/>
        <v>0.6</v>
      </c>
      <c r="AF80" s="71">
        <f t="shared" ca="1" si="41"/>
        <v>0.7</v>
      </c>
      <c r="AG80" s="72">
        <f t="shared" ca="1" si="42"/>
        <v>0.6333333333333333</v>
      </c>
      <c r="AH80" s="177">
        <f t="shared" si="43"/>
        <v>5.9649122807017578</v>
      </c>
      <c r="AI80" s="185">
        <f t="shared" ca="1" si="44"/>
        <v>37.7777777777778</v>
      </c>
      <c r="AJ80" s="179" t="str">
        <f t="shared" ca="1" si="45"/>
        <v>Q4</v>
      </c>
      <c r="AK80" s="90" t="s">
        <v>342</v>
      </c>
      <c r="AL80" s="101"/>
      <c r="AM80" s="268"/>
      <c r="AN80" s="103"/>
      <c r="AO80" s="103">
        <v>120000</v>
      </c>
      <c r="AP80" s="108"/>
      <c r="AQ80" s="299"/>
      <c r="AR80" s="327"/>
      <c r="AS80" s="164"/>
      <c r="AT80" s="164">
        <f t="shared" si="46"/>
        <v>128546.99999999999</v>
      </c>
      <c r="AU80" s="320"/>
      <c r="AV80" s="324"/>
      <c r="AW80" s="89"/>
    </row>
    <row r="81" spans="1:49" ht="36" customHeight="1">
      <c r="A81" s="5">
        <v>282</v>
      </c>
      <c r="B81" s="229">
        <v>77</v>
      </c>
      <c r="C81" s="6" t="s">
        <v>8</v>
      </c>
      <c r="D81" s="133"/>
      <c r="E81" s="21" t="s">
        <v>720</v>
      </c>
      <c r="F81" s="13" t="s">
        <v>721</v>
      </c>
      <c r="G81" s="114"/>
      <c r="H81" s="215">
        <v>500000</v>
      </c>
      <c r="I81" s="51">
        <v>3</v>
      </c>
      <c r="J81" s="56">
        <v>0.5</v>
      </c>
      <c r="K81" s="50"/>
      <c r="L81" s="57"/>
      <c r="M81" s="62">
        <v>6</v>
      </c>
      <c r="N81" s="63">
        <v>4</v>
      </c>
      <c r="O81" s="63">
        <v>7</v>
      </c>
      <c r="P81" s="63">
        <v>3</v>
      </c>
      <c r="Q81" s="63">
        <v>5</v>
      </c>
      <c r="R81" s="63">
        <v>7</v>
      </c>
      <c r="S81" s="63">
        <v>9</v>
      </c>
      <c r="T81" s="64">
        <v>8</v>
      </c>
      <c r="U81" s="67" t="e">
        <f t="shared" ca="1" si="30"/>
        <v>#DIV/0!</v>
      </c>
      <c r="V81" s="67">
        <f t="shared" ca="1" si="31"/>
        <v>0.5</v>
      </c>
      <c r="W81" s="69">
        <f t="shared" si="32"/>
        <v>0.94736842105263153</v>
      </c>
      <c r="X81" s="69">
        <f t="shared" si="33"/>
        <v>0.42105263157894735</v>
      </c>
      <c r="Y81" s="69">
        <f t="shared" si="34"/>
        <v>0.98245614035087714</v>
      </c>
      <c r="Z81" s="69">
        <f t="shared" si="35"/>
        <v>0.52631578947368418</v>
      </c>
      <c r="AA81" s="69">
        <f t="shared" si="36"/>
        <v>0.43859649122807015</v>
      </c>
      <c r="AB81" s="69">
        <f t="shared" si="37"/>
        <v>0.85964912280701755</v>
      </c>
      <c r="AC81" s="69">
        <f t="shared" si="38"/>
        <v>0.94736842105263153</v>
      </c>
      <c r="AD81" s="70">
        <f t="shared" si="39"/>
        <v>0.84210526315789469</v>
      </c>
      <c r="AE81" s="71">
        <f t="shared" si="40"/>
        <v>0.7</v>
      </c>
      <c r="AF81" s="71">
        <f t="shared" ca="1" si="41"/>
        <v>0.5</v>
      </c>
      <c r="AG81" s="72">
        <f t="shared" ca="1" si="42"/>
        <v>0.6333333333333333</v>
      </c>
      <c r="AH81" s="177">
        <f t="shared" si="43"/>
        <v>5.9649122807017543</v>
      </c>
      <c r="AI81" s="185">
        <f t="shared" ca="1" si="44"/>
        <v>37.777777777777779</v>
      </c>
      <c r="AJ81" s="179"/>
      <c r="AK81" s="90" t="s">
        <v>329</v>
      </c>
      <c r="AL81" s="101"/>
      <c r="AM81" s="268"/>
      <c r="AN81" s="103"/>
      <c r="AO81" s="103">
        <v>500000</v>
      </c>
      <c r="AP81" s="108"/>
      <c r="AQ81" s="299"/>
      <c r="AR81" s="327"/>
      <c r="AS81" s="164"/>
      <c r="AT81" s="164">
        <f t="shared" si="46"/>
        <v>535612.49999999988</v>
      </c>
      <c r="AU81" s="320"/>
      <c r="AV81" s="324"/>
      <c r="AW81" s="89"/>
    </row>
    <row r="82" spans="1:49" ht="36" customHeight="1">
      <c r="A82" s="5"/>
      <c r="B82" s="229">
        <v>78</v>
      </c>
      <c r="C82" s="6" t="s">
        <v>8</v>
      </c>
      <c r="D82" s="133" t="s">
        <v>7</v>
      </c>
      <c r="E82" s="209" t="s">
        <v>684</v>
      </c>
      <c r="F82" s="20" t="s">
        <v>673</v>
      </c>
      <c r="G82" s="20" t="s">
        <v>414</v>
      </c>
      <c r="H82" s="216">
        <v>128000</v>
      </c>
      <c r="I82" s="51">
        <v>2</v>
      </c>
      <c r="J82" s="56">
        <v>0</v>
      </c>
      <c r="K82" s="50"/>
      <c r="L82" s="57"/>
      <c r="M82" s="62">
        <v>3</v>
      </c>
      <c r="N82" s="63">
        <v>5</v>
      </c>
      <c r="O82" s="63">
        <v>5</v>
      </c>
      <c r="P82" s="63">
        <v>4.0000000000000027</v>
      </c>
      <c r="Q82" s="63">
        <v>8.0000000000000053</v>
      </c>
      <c r="R82" s="63">
        <v>5</v>
      </c>
      <c r="S82" s="63">
        <v>2</v>
      </c>
      <c r="T82" s="64">
        <v>4.0000000000000027</v>
      </c>
      <c r="U82" s="67" t="e">
        <f t="shared" ca="1" si="30"/>
        <v>#DIV/0!</v>
      </c>
      <c r="V82" s="67">
        <f t="shared" ca="1" si="31"/>
        <v>0</v>
      </c>
      <c r="W82" s="69">
        <f t="shared" si="32"/>
        <v>0.47368421052631576</v>
      </c>
      <c r="X82" s="69">
        <f t="shared" si="33"/>
        <v>0.52631578947368418</v>
      </c>
      <c r="Y82" s="69">
        <f t="shared" si="34"/>
        <v>0.70175438596491224</v>
      </c>
      <c r="Z82" s="69">
        <f t="shared" si="35"/>
        <v>0.7017543859649128</v>
      </c>
      <c r="AA82" s="69">
        <f t="shared" si="36"/>
        <v>0.7017543859649128</v>
      </c>
      <c r="AB82" s="69">
        <f t="shared" si="37"/>
        <v>0.61403508771929827</v>
      </c>
      <c r="AC82" s="69">
        <f t="shared" si="38"/>
        <v>0.21052631578947367</v>
      </c>
      <c r="AD82" s="70">
        <f t="shared" si="39"/>
        <v>0.42105263157894762</v>
      </c>
      <c r="AE82" s="71">
        <f t="shared" si="40"/>
        <v>0.8</v>
      </c>
      <c r="AF82" s="71">
        <f t="shared" ca="1" si="41"/>
        <v>1</v>
      </c>
      <c r="AG82" s="72">
        <f t="shared" ca="1" si="42"/>
        <v>0.8666666666666667</v>
      </c>
      <c r="AH82" s="177">
        <f t="shared" si="43"/>
        <v>4.3508771929824572</v>
      </c>
      <c r="AI82" s="185">
        <f t="shared" ca="1" si="44"/>
        <v>37.7076023391813</v>
      </c>
      <c r="AJ82" s="179" t="str">
        <f t="shared" ref="AJ82:AJ114" ca="1" si="47">IF(AG82&gt;$AG$2,IF(AH82&gt;$AH$2,"Q1","Q2"),IF(AH82&gt;$AH$2,"Q3","Q4"))</f>
        <v>Q2</v>
      </c>
      <c r="AK82" s="90" t="s">
        <v>338</v>
      </c>
      <c r="AL82" s="194"/>
      <c r="AM82" s="103"/>
      <c r="AN82" s="103"/>
      <c r="AO82" s="108"/>
      <c r="AP82" s="103">
        <v>128000</v>
      </c>
      <c r="AQ82" s="299"/>
      <c r="AR82" s="327"/>
      <c r="AS82" s="164"/>
      <c r="AT82" s="164"/>
      <c r="AU82" s="320">
        <f t="shared" ref="AU82:AU105" si="48">AP82*(1+Efactor)^3</f>
        <v>141915.88799999998</v>
      </c>
      <c r="AV82" s="324"/>
      <c r="AW82" s="89"/>
    </row>
    <row r="83" spans="1:49" ht="36" customHeight="1">
      <c r="A83" s="5"/>
      <c r="B83" s="229">
        <v>79</v>
      </c>
      <c r="C83" s="14" t="s">
        <v>20</v>
      </c>
      <c r="D83" s="168" t="s">
        <v>384</v>
      </c>
      <c r="E83" s="15" t="s">
        <v>524</v>
      </c>
      <c r="F83" s="30" t="s">
        <v>520</v>
      </c>
      <c r="G83" s="8"/>
      <c r="H83" s="218">
        <v>2900000</v>
      </c>
      <c r="I83" s="50">
        <v>4</v>
      </c>
      <c r="J83" s="56">
        <v>0.3</v>
      </c>
      <c r="K83" s="50"/>
      <c r="L83" s="57"/>
      <c r="M83" s="62">
        <v>8</v>
      </c>
      <c r="N83" s="63">
        <v>8</v>
      </c>
      <c r="O83" s="63">
        <v>2</v>
      </c>
      <c r="P83" s="63">
        <v>6.0000000000000036</v>
      </c>
      <c r="Q83" s="63">
        <v>4</v>
      </c>
      <c r="R83" s="63">
        <v>9</v>
      </c>
      <c r="S83" s="63">
        <v>0</v>
      </c>
      <c r="T83" s="64">
        <v>10</v>
      </c>
      <c r="U83" s="67" t="e">
        <f t="shared" ca="1" si="30"/>
        <v>#DIV/0!</v>
      </c>
      <c r="V83" s="67">
        <f t="shared" ca="1" si="31"/>
        <v>0.3</v>
      </c>
      <c r="W83" s="69">
        <f t="shared" si="32"/>
        <v>1.263157894736842</v>
      </c>
      <c r="X83" s="69">
        <f t="shared" si="33"/>
        <v>0.84210526315789469</v>
      </c>
      <c r="Y83" s="69">
        <f t="shared" si="34"/>
        <v>0.2807017543859649</v>
      </c>
      <c r="Z83" s="69">
        <f t="shared" si="35"/>
        <v>1.052631578947369</v>
      </c>
      <c r="AA83" s="69">
        <f t="shared" si="36"/>
        <v>0.35087719298245612</v>
      </c>
      <c r="AB83" s="69">
        <f t="shared" si="37"/>
        <v>1.1052631578947369</v>
      </c>
      <c r="AC83" s="69">
        <f t="shared" si="38"/>
        <v>0</v>
      </c>
      <c r="AD83" s="70">
        <f t="shared" si="39"/>
        <v>1.0526315789473684</v>
      </c>
      <c r="AE83" s="71">
        <f t="shared" si="40"/>
        <v>0.6</v>
      </c>
      <c r="AF83" s="71">
        <f t="shared" ca="1" si="41"/>
        <v>0.7</v>
      </c>
      <c r="AG83" s="72">
        <f t="shared" ca="1" si="42"/>
        <v>0.6333333333333333</v>
      </c>
      <c r="AH83" s="177">
        <f t="shared" si="43"/>
        <v>5.9473684210526319</v>
      </c>
      <c r="AI83" s="185">
        <f t="shared" ca="1" si="44"/>
        <v>37.666666666666664</v>
      </c>
      <c r="AJ83" s="179" t="str">
        <f t="shared" ca="1" si="47"/>
        <v>Q4</v>
      </c>
      <c r="AK83" s="90" t="s">
        <v>430</v>
      </c>
      <c r="AL83" s="274"/>
      <c r="AM83" s="273"/>
      <c r="AN83" s="98"/>
      <c r="AO83" s="98"/>
      <c r="AP83" s="189">
        <v>3200000</v>
      </c>
      <c r="AQ83" s="300"/>
      <c r="AR83" s="327"/>
      <c r="AS83" s="164"/>
      <c r="AT83" s="164"/>
      <c r="AU83" s="320">
        <f t="shared" si="48"/>
        <v>3547897.1999999993</v>
      </c>
      <c r="AV83" s="324"/>
      <c r="AW83" s="89"/>
    </row>
    <row r="84" spans="1:49" ht="36" customHeight="1">
      <c r="A84" s="5">
        <v>171</v>
      </c>
      <c r="B84" s="229">
        <v>80</v>
      </c>
      <c r="C84" s="6" t="s">
        <v>6</v>
      </c>
      <c r="D84" s="133" t="s">
        <v>7</v>
      </c>
      <c r="E84" s="7" t="s">
        <v>142</v>
      </c>
      <c r="F84" s="9" t="s">
        <v>444</v>
      </c>
      <c r="G84" s="8"/>
      <c r="H84" s="213">
        <v>250000</v>
      </c>
      <c r="I84" s="50">
        <v>3</v>
      </c>
      <c r="J84" s="56">
        <v>0.2</v>
      </c>
      <c r="K84" s="50"/>
      <c r="L84" s="57"/>
      <c r="M84" s="62">
        <v>6.0000000000000036</v>
      </c>
      <c r="N84" s="63">
        <v>8.0000000000000053</v>
      </c>
      <c r="O84" s="63">
        <v>5</v>
      </c>
      <c r="P84" s="63">
        <v>3</v>
      </c>
      <c r="Q84" s="63">
        <v>0</v>
      </c>
      <c r="R84" s="63">
        <v>6</v>
      </c>
      <c r="S84" s="63">
        <v>5</v>
      </c>
      <c r="T84" s="64">
        <v>8.0000000000000053</v>
      </c>
      <c r="U84" s="67" t="e">
        <f t="shared" ca="1" si="30"/>
        <v>#DIV/0!</v>
      </c>
      <c r="V84" s="67">
        <f t="shared" ca="1" si="31"/>
        <v>0.2</v>
      </c>
      <c r="W84" s="69">
        <f t="shared" si="32"/>
        <v>0.94736842105263208</v>
      </c>
      <c r="X84" s="69">
        <f t="shared" si="33"/>
        <v>0.84210526315789525</v>
      </c>
      <c r="Y84" s="69">
        <f t="shared" si="34"/>
        <v>0.70175438596491224</v>
      </c>
      <c r="Z84" s="69">
        <f t="shared" si="35"/>
        <v>0.52631578947368418</v>
      </c>
      <c r="AA84" s="69">
        <f t="shared" si="36"/>
        <v>0</v>
      </c>
      <c r="AB84" s="69">
        <f t="shared" si="37"/>
        <v>0.73684210526315785</v>
      </c>
      <c r="AC84" s="69">
        <f t="shared" si="38"/>
        <v>0.52631578947368418</v>
      </c>
      <c r="AD84" s="70">
        <f t="shared" si="39"/>
        <v>0.84210526315789525</v>
      </c>
      <c r="AE84" s="71">
        <f t="shared" si="40"/>
        <v>0.7</v>
      </c>
      <c r="AF84" s="71">
        <f t="shared" ca="1" si="41"/>
        <v>0.8</v>
      </c>
      <c r="AG84" s="72">
        <f t="shared" ca="1" si="42"/>
        <v>0.73333333333333339</v>
      </c>
      <c r="AH84" s="177">
        <f t="shared" si="43"/>
        <v>5.1228070175438614</v>
      </c>
      <c r="AI84" s="185">
        <f t="shared" ca="1" si="44"/>
        <v>37.56725146198832</v>
      </c>
      <c r="AJ84" s="179" t="str">
        <f t="shared" ca="1" si="47"/>
        <v>Q4</v>
      </c>
      <c r="AK84" s="88" t="s">
        <v>329</v>
      </c>
      <c r="AL84" s="100"/>
      <c r="AM84" s="268"/>
      <c r="AN84" s="103"/>
      <c r="AO84" s="103"/>
      <c r="AP84" s="200">
        <v>250000</v>
      </c>
      <c r="AQ84" s="301"/>
      <c r="AR84" s="327"/>
      <c r="AS84" s="164"/>
      <c r="AT84" s="164"/>
      <c r="AU84" s="320">
        <f t="shared" si="48"/>
        <v>277179.46874999994</v>
      </c>
      <c r="AV84" s="324"/>
      <c r="AW84" s="89"/>
    </row>
    <row r="85" spans="1:49" ht="36" customHeight="1">
      <c r="A85" s="5"/>
      <c r="B85" s="229">
        <v>81</v>
      </c>
      <c r="C85" s="6" t="s">
        <v>17</v>
      </c>
      <c r="D85" s="133" t="s">
        <v>19</v>
      </c>
      <c r="E85" s="104" t="s">
        <v>638</v>
      </c>
      <c r="F85" s="25" t="s">
        <v>640</v>
      </c>
      <c r="G85" s="25" t="s">
        <v>424</v>
      </c>
      <c r="H85" s="215">
        <v>100000</v>
      </c>
      <c r="I85" s="51">
        <v>4</v>
      </c>
      <c r="J85" s="56">
        <v>0.3</v>
      </c>
      <c r="K85" s="50"/>
      <c r="L85" s="57"/>
      <c r="M85" s="62">
        <v>6.0000000000000036</v>
      </c>
      <c r="N85" s="63">
        <v>8.0000000000000053</v>
      </c>
      <c r="O85" s="63">
        <v>5</v>
      </c>
      <c r="P85" s="63">
        <v>8.0000000000000053</v>
      </c>
      <c r="Q85" s="63">
        <v>4.0000000000000027</v>
      </c>
      <c r="R85" s="63">
        <v>6.0000000000000036</v>
      </c>
      <c r="S85" s="63">
        <v>1</v>
      </c>
      <c r="T85" s="64">
        <v>8</v>
      </c>
      <c r="U85" s="67" t="e">
        <f t="shared" ca="1" si="30"/>
        <v>#DIV/0!</v>
      </c>
      <c r="V85" s="67">
        <f t="shared" ca="1" si="31"/>
        <v>0.3</v>
      </c>
      <c r="W85" s="69">
        <f t="shared" si="32"/>
        <v>0.94736842105263208</v>
      </c>
      <c r="X85" s="69">
        <f t="shared" si="33"/>
        <v>0.84210526315789525</v>
      </c>
      <c r="Y85" s="69">
        <f t="shared" si="34"/>
        <v>0.70175438596491224</v>
      </c>
      <c r="Z85" s="69">
        <f t="shared" si="35"/>
        <v>1.4035087719298256</v>
      </c>
      <c r="AA85" s="69">
        <f t="shared" si="36"/>
        <v>0.3508771929824564</v>
      </c>
      <c r="AB85" s="69">
        <f t="shared" si="37"/>
        <v>0.73684210526315841</v>
      </c>
      <c r="AC85" s="69">
        <f t="shared" si="38"/>
        <v>0.10526315789473684</v>
      </c>
      <c r="AD85" s="70">
        <f t="shared" si="39"/>
        <v>0.84210526315789469</v>
      </c>
      <c r="AE85" s="71">
        <f t="shared" si="40"/>
        <v>0.6</v>
      </c>
      <c r="AF85" s="71">
        <f t="shared" ca="1" si="41"/>
        <v>0.7</v>
      </c>
      <c r="AG85" s="72">
        <f t="shared" ca="1" si="42"/>
        <v>0.6333333333333333</v>
      </c>
      <c r="AH85" s="177">
        <f t="shared" si="43"/>
        <v>5.9298245614035121</v>
      </c>
      <c r="AI85" s="185">
        <f t="shared" ca="1" si="44"/>
        <v>37.555555555555571</v>
      </c>
      <c r="AJ85" s="179" t="str">
        <f t="shared" ca="1" si="47"/>
        <v>Q4</v>
      </c>
      <c r="AK85" s="90" t="s">
        <v>342</v>
      </c>
      <c r="AL85" s="101"/>
      <c r="AM85" s="268"/>
      <c r="AN85" s="103"/>
      <c r="AO85" s="103"/>
      <c r="AP85" s="108">
        <v>100000</v>
      </c>
      <c r="AQ85" s="299"/>
      <c r="AR85" s="327"/>
      <c r="AS85" s="164"/>
      <c r="AT85" s="164"/>
      <c r="AU85" s="320">
        <f t="shared" si="48"/>
        <v>110871.78749999998</v>
      </c>
      <c r="AV85" s="324"/>
      <c r="AW85" s="89"/>
    </row>
    <row r="86" spans="1:49" ht="36" customHeight="1">
      <c r="A86" s="5">
        <v>189</v>
      </c>
      <c r="B86" s="229">
        <v>82</v>
      </c>
      <c r="C86" s="6" t="s">
        <v>20</v>
      </c>
      <c r="D86" s="133" t="s">
        <v>384</v>
      </c>
      <c r="E86" s="10" t="s">
        <v>711</v>
      </c>
      <c r="F86" s="23" t="s">
        <v>447</v>
      </c>
      <c r="G86" s="23"/>
      <c r="H86" s="215">
        <v>63500</v>
      </c>
      <c r="I86" s="51">
        <v>3</v>
      </c>
      <c r="J86" s="56">
        <v>0.3</v>
      </c>
      <c r="K86" s="50"/>
      <c r="L86" s="57"/>
      <c r="M86" s="62">
        <v>6.0000000000000036</v>
      </c>
      <c r="N86" s="63">
        <v>7</v>
      </c>
      <c r="O86" s="63">
        <v>4.0000000000000027</v>
      </c>
      <c r="P86" s="63">
        <v>7</v>
      </c>
      <c r="Q86" s="63">
        <v>2</v>
      </c>
      <c r="R86" s="63">
        <v>7</v>
      </c>
      <c r="S86" s="63">
        <v>0</v>
      </c>
      <c r="T86" s="64">
        <v>8</v>
      </c>
      <c r="U86" s="67" t="e">
        <f t="shared" ca="1" si="30"/>
        <v>#DIV/0!</v>
      </c>
      <c r="V86" s="67">
        <f t="shared" ca="1" si="31"/>
        <v>0.3</v>
      </c>
      <c r="W86" s="69">
        <f t="shared" si="32"/>
        <v>0.94736842105263208</v>
      </c>
      <c r="X86" s="69">
        <f t="shared" si="33"/>
        <v>0.73684210526315785</v>
      </c>
      <c r="Y86" s="69">
        <f t="shared" si="34"/>
        <v>0.56140350877193024</v>
      </c>
      <c r="Z86" s="69">
        <f t="shared" si="35"/>
        <v>1.2280701754385965</v>
      </c>
      <c r="AA86" s="69">
        <f t="shared" si="36"/>
        <v>0.17543859649122806</v>
      </c>
      <c r="AB86" s="69">
        <f t="shared" si="37"/>
        <v>0.85964912280701755</v>
      </c>
      <c r="AC86" s="69">
        <f t="shared" si="38"/>
        <v>0</v>
      </c>
      <c r="AD86" s="70">
        <f t="shared" si="39"/>
        <v>0.84210526315789469</v>
      </c>
      <c r="AE86" s="71">
        <f t="shared" si="40"/>
        <v>0.7</v>
      </c>
      <c r="AF86" s="71">
        <f t="shared" ca="1" si="41"/>
        <v>0.7</v>
      </c>
      <c r="AG86" s="72">
        <f t="shared" ca="1" si="42"/>
        <v>0.69999999999999984</v>
      </c>
      <c r="AH86" s="177">
        <f t="shared" si="43"/>
        <v>5.3508771929824572</v>
      </c>
      <c r="AI86" s="185">
        <f t="shared" ca="1" si="44"/>
        <v>37.456140350877192</v>
      </c>
      <c r="AJ86" s="179" t="str">
        <f t="shared" ca="1" si="47"/>
        <v>Q4</v>
      </c>
      <c r="AK86" s="90" t="s">
        <v>662</v>
      </c>
      <c r="AL86" s="275"/>
      <c r="AM86" s="268"/>
      <c r="AN86" s="103"/>
      <c r="AO86" s="103"/>
      <c r="AP86" s="108">
        <v>63500</v>
      </c>
      <c r="AQ86" s="299"/>
      <c r="AR86" s="327"/>
      <c r="AS86" s="164"/>
      <c r="AT86" s="164"/>
      <c r="AU86" s="321">
        <f t="shared" si="48"/>
        <v>70403.585062499988</v>
      </c>
      <c r="AV86" s="324"/>
      <c r="AW86" s="89"/>
    </row>
    <row r="87" spans="1:49" ht="36" customHeight="1">
      <c r="A87" s="5"/>
      <c r="B87" s="229">
        <v>83</v>
      </c>
      <c r="C87" s="6" t="s">
        <v>20</v>
      </c>
      <c r="D87" s="133" t="s">
        <v>385</v>
      </c>
      <c r="E87" s="21" t="s">
        <v>507</v>
      </c>
      <c r="F87" s="11" t="s">
        <v>624</v>
      </c>
      <c r="G87" s="20"/>
      <c r="H87" s="222">
        <v>110000</v>
      </c>
      <c r="I87" s="51">
        <v>3</v>
      </c>
      <c r="J87" s="56">
        <v>0.3</v>
      </c>
      <c r="K87" s="50"/>
      <c r="L87" s="57"/>
      <c r="M87" s="62">
        <v>7</v>
      </c>
      <c r="N87" s="63">
        <v>7</v>
      </c>
      <c r="O87" s="63">
        <v>4</v>
      </c>
      <c r="P87" s="63">
        <v>6</v>
      </c>
      <c r="Q87" s="63">
        <v>4</v>
      </c>
      <c r="R87" s="63">
        <v>4</v>
      </c>
      <c r="S87" s="63">
        <v>0</v>
      </c>
      <c r="T87" s="64">
        <v>10</v>
      </c>
      <c r="U87" s="67" t="e">
        <f t="shared" ca="1" si="30"/>
        <v>#DIV/0!</v>
      </c>
      <c r="V87" s="67">
        <f t="shared" ca="1" si="31"/>
        <v>0.3</v>
      </c>
      <c r="W87" s="69">
        <f t="shared" si="32"/>
        <v>1.1052631578947369</v>
      </c>
      <c r="X87" s="69">
        <f t="shared" si="33"/>
        <v>0.73684210526315785</v>
      </c>
      <c r="Y87" s="69">
        <f t="shared" si="34"/>
        <v>0.56140350877192979</v>
      </c>
      <c r="Z87" s="69">
        <f t="shared" si="35"/>
        <v>1.0526315789473684</v>
      </c>
      <c r="AA87" s="69">
        <f t="shared" si="36"/>
        <v>0.35087719298245612</v>
      </c>
      <c r="AB87" s="69">
        <f t="shared" si="37"/>
        <v>0.49122807017543857</v>
      </c>
      <c r="AC87" s="69">
        <f t="shared" si="38"/>
        <v>0</v>
      </c>
      <c r="AD87" s="70">
        <f t="shared" si="39"/>
        <v>1.0526315789473684</v>
      </c>
      <c r="AE87" s="71">
        <f t="shared" si="40"/>
        <v>0.7</v>
      </c>
      <c r="AF87" s="71">
        <f t="shared" ca="1" si="41"/>
        <v>0.7</v>
      </c>
      <c r="AG87" s="72">
        <f t="shared" ca="1" si="42"/>
        <v>0.69999999999999984</v>
      </c>
      <c r="AH87" s="177">
        <f t="shared" si="43"/>
        <v>5.3508771929824555</v>
      </c>
      <c r="AI87" s="185">
        <f t="shared" ca="1" si="44"/>
        <v>37.456140350877178</v>
      </c>
      <c r="AJ87" s="179" t="str">
        <f t="shared" ca="1" si="47"/>
        <v>Q4</v>
      </c>
      <c r="AK87" s="90" t="s">
        <v>329</v>
      </c>
      <c r="AL87" s="101"/>
      <c r="AM87" s="268"/>
      <c r="AN87" s="103"/>
      <c r="AO87" s="107"/>
      <c r="AP87" s="108">
        <v>110000</v>
      </c>
      <c r="AQ87" s="299"/>
      <c r="AR87" s="327"/>
      <c r="AS87" s="164"/>
      <c r="AT87" s="164"/>
      <c r="AU87" s="320">
        <f t="shared" si="48"/>
        <v>121958.96624999997</v>
      </c>
      <c r="AV87" s="324"/>
      <c r="AW87" s="89"/>
    </row>
    <row r="88" spans="1:49" ht="36" customHeight="1">
      <c r="A88" s="5"/>
      <c r="B88" s="229">
        <v>84</v>
      </c>
      <c r="C88" s="6" t="s">
        <v>8</v>
      </c>
      <c r="D88" s="133" t="s">
        <v>7</v>
      </c>
      <c r="E88" s="18" t="s">
        <v>288</v>
      </c>
      <c r="F88" s="19" t="s">
        <v>289</v>
      </c>
      <c r="G88" s="20" t="s">
        <v>290</v>
      </c>
      <c r="H88" s="215">
        <v>252000</v>
      </c>
      <c r="I88" s="51">
        <v>2</v>
      </c>
      <c r="J88" s="56">
        <v>0</v>
      </c>
      <c r="K88" s="50"/>
      <c r="L88" s="57"/>
      <c r="M88" s="62">
        <v>3</v>
      </c>
      <c r="N88" s="63">
        <v>5</v>
      </c>
      <c r="O88" s="63">
        <v>4.0000000000000027</v>
      </c>
      <c r="P88" s="63">
        <v>4.0000000000000027</v>
      </c>
      <c r="Q88" s="63">
        <v>8.0000000000000053</v>
      </c>
      <c r="R88" s="63">
        <v>5</v>
      </c>
      <c r="S88" s="63">
        <v>3</v>
      </c>
      <c r="T88" s="64">
        <v>4</v>
      </c>
      <c r="U88" s="67" t="e">
        <f t="shared" ca="1" si="30"/>
        <v>#DIV/0!</v>
      </c>
      <c r="V88" s="67">
        <f t="shared" ca="1" si="31"/>
        <v>0</v>
      </c>
      <c r="W88" s="69">
        <f t="shared" si="32"/>
        <v>0.47368421052631576</v>
      </c>
      <c r="X88" s="69">
        <f t="shared" si="33"/>
        <v>0.52631578947368418</v>
      </c>
      <c r="Y88" s="69">
        <f t="shared" si="34"/>
        <v>0.56140350877193024</v>
      </c>
      <c r="Z88" s="69">
        <f t="shared" si="35"/>
        <v>0.7017543859649128</v>
      </c>
      <c r="AA88" s="69">
        <f t="shared" si="36"/>
        <v>0.7017543859649128</v>
      </c>
      <c r="AB88" s="69">
        <f t="shared" si="37"/>
        <v>0.61403508771929827</v>
      </c>
      <c r="AC88" s="69">
        <f t="shared" si="38"/>
        <v>0.31578947368421051</v>
      </c>
      <c r="AD88" s="70">
        <f t="shared" si="39"/>
        <v>0.42105263157894735</v>
      </c>
      <c r="AE88" s="71">
        <f t="shared" si="40"/>
        <v>0.8</v>
      </c>
      <c r="AF88" s="71">
        <f t="shared" ca="1" si="41"/>
        <v>1</v>
      </c>
      <c r="AG88" s="72">
        <f t="shared" ca="1" si="42"/>
        <v>0.8666666666666667</v>
      </c>
      <c r="AH88" s="177">
        <f t="shared" si="43"/>
        <v>4.3157894736842124</v>
      </c>
      <c r="AI88" s="185">
        <f t="shared" ca="1" si="44"/>
        <v>37.403508771929843</v>
      </c>
      <c r="AJ88" s="179" t="str">
        <f t="shared" ca="1" si="47"/>
        <v>Q2</v>
      </c>
      <c r="AK88" s="90" t="s">
        <v>338</v>
      </c>
      <c r="AL88" s="101"/>
      <c r="AM88" s="268"/>
      <c r="AN88" s="103"/>
      <c r="AO88" s="103"/>
      <c r="AP88" s="108">
        <v>252000</v>
      </c>
      <c r="AQ88" s="299"/>
      <c r="AR88" s="327"/>
      <c r="AS88" s="164"/>
      <c r="AT88" s="164"/>
      <c r="AU88" s="320">
        <f t="shared" si="48"/>
        <v>279396.90449999995</v>
      </c>
      <c r="AV88" s="324"/>
      <c r="AW88" s="89"/>
    </row>
    <row r="89" spans="1:49" ht="36" customHeight="1">
      <c r="A89" s="5">
        <v>328</v>
      </c>
      <c r="B89" s="229">
        <v>85</v>
      </c>
      <c r="C89" s="6" t="s">
        <v>25</v>
      </c>
      <c r="D89" s="133"/>
      <c r="E89" s="10" t="s">
        <v>753</v>
      </c>
      <c r="F89" s="17" t="s">
        <v>756</v>
      </c>
      <c r="G89" s="17"/>
      <c r="H89" s="215">
        <v>250000</v>
      </c>
      <c r="I89" s="51">
        <v>4</v>
      </c>
      <c r="J89" s="56">
        <v>0.4</v>
      </c>
      <c r="K89" s="50"/>
      <c r="L89" s="57"/>
      <c r="M89" s="62">
        <v>9</v>
      </c>
      <c r="N89" s="63">
        <v>8</v>
      </c>
      <c r="O89" s="63">
        <v>6</v>
      </c>
      <c r="P89" s="63">
        <v>3</v>
      </c>
      <c r="Q89" s="63">
        <v>2</v>
      </c>
      <c r="R89" s="63">
        <v>6</v>
      </c>
      <c r="S89" s="63">
        <v>6</v>
      </c>
      <c r="T89" s="64">
        <v>10</v>
      </c>
      <c r="U89" s="67" t="e">
        <f t="shared" ca="1" si="30"/>
        <v>#DIV/0!</v>
      </c>
      <c r="V89" s="67">
        <f t="shared" ca="1" si="31"/>
        <v>0.4</v>
      </c>
      <c r="W89" s="69">
        <f t="shared" si="32"/>
        <v>1.4210526315789473</v>
      </c>
      <c r="X89" s="69">
        <f t="shared" si="33"/>
        <v>0.84210526315789469</v>
      </c>
      <c r="Y89" s="69">
        <f t="shared" si="34"/>
        <v>0.84210526315789469</v>
      </c>
      <c r="Z89" s="69">
        <f t="shared" si="35"/>
        <v>0.52631578947368418</v>
      </c>
      <c r="AA89" s="69">
        <f t="shared" si="36"/>
        <v>0.17543859649122806</v>
      </c>
      <c r="AB89" s="69">
        <f t="shared" si="37"/>
        <v>0.73684210526315785</v>
      </c>
      <c r="AC89" s="69">
        <f t="shared" si="38"/>
        <v>0.63157894736842102</v>
      </c>
      <c r="AD89" s="70">
        <f t="shared" si="39"/>
        <v>1.0526315789473684</v>
      </c>
      <c r="AE89" s="71">
        <f t="shared" si="40"/>
        <v>0.6</v>
      </c>
      <c r="AF89" s="71">
        <f t="shared" ca="1" si="41"/>
        <v>0.6</v>
      </c>
      <c r="AG89" s="72">
        <f t="shared" ca="1" si="42"/>
        <v>0.6</v>
      </c>
      <c r="AH89" s="177">
        <f t="shared" si="43"/>
        <v>6.2280701754385959</v>
      </c>
      <c r="AI89" s="185">
        <f t="shared" ca="1" si="44"/>
        <v>37.368421052631575</v>
      </c>
      <c r="AJ89" s="179" t="str">
        <f t="shared" ca="1" si="47"/>
        <v>Q3</v>
      </c>
      <c r="AK89" s="90" t="s">
        <v>329</v>
      </c>
      <c r="AL89" s="101"/>
      <c r="AM89" s="268"/>
      <c r="AN89" s="103"/>
      <c r="AO89" s="169"/>
      <c r="AP89" s="108">
        <v>450000</v>
      </c>
      <c r="AQ89" s="299"/>
      <c r="AR89" s="327"/>
      <c r="AS89" s="164"/>
      <c r="AT89" s="164"/>
      <c r="AU89" s="320">
        <f t="shared" si="48"/>
        <v>498923.0437499999</v>
      </c>
      <c r="AV89" s="324"/>
      <c r="AW89" s="89"/>
    </row>
    <row r="90" spans="1:49" ht="36" customHeight="1">
      <c r="A90" s="5">
        <v>242</v>
      </c>
      <c r="B90" s="229">
        <v>86</v>
      </c>
      <c r="C90" s="6" t="s">
        <v>12</v>
      </c>
      <c r="D90" s="133" t="s">
        <v>385</v>
      </c>
      <c r="E90" s="12" t="s">
        <v>762</v>
      </c>
      <c r="F90" s="13" t="s">
        <v>493</v>
      </c>
      <c r="G90" s="113" t="s">
        <v>198</v>
      </c>
      <c r="H90" s="215">
        <v>600000</v>
      </c>
      <c r="I90" s="51">
        <v>4</v>
      </c>
      <c r="J90" s="56">
        <v>0.4</v>
      </c>
      <c r="K90" s="50"/>
      <c r="L90" s="57"/>
      <c r="M90" s="62">
        <v>7</v>
      </c>
      <c r="N90" s="63">
        <v>7</v>
      </c>
      <c r="O90" s="63">
        <v>3</v>
      </c>
      <c r="P90" s="63">
        <v>8</v>
      </c>
      <c r="Q90" s="63">
        <v>6</v>
      </c>
      <c r="R90" s="63">
        <v>8</v>
      </c>
      <c r="S90" s="63">
        <v>0</v>
      </c>
      <c r="T90" s="64">
        <v>10</v>
      </c>
      <c r="U90" s="67" t="e">
        <f t="shared" ca="1" si="30"/>
        <v>#DIV/0!</v>
      </c>
      <c r="V90" s="67">
        <f t="shared" ca="1" si="31"/>
        <v>0.4</v>
      </c>
      <c r="W90" s="69">
        <f t="shared" si="32"/>
        <v>1.1052631578947369</v>
      </c>
      <c r="X90" s="69">
        <f t="shared" si="33"/>
        <v>0.73684210526315785</v>
      </c>
      <c r="Y90" s="69">
        <f t="shared" si="34"/>
        <v>0.42105263157894735</v>
      </c>
      <c r="Z90" s="69">
        <f t="shared" si="35"/>
        <v>1.4035087719298245</v>
      </c>
      <c r="AA90" s="69">
        <f t="shared" si="36"/>
        <v>0.52631578947368418</v>
      </c>
      <c r="AB90" s="69">
        <f t="shared" si="37"/>
        <v>0.98245614035087714</v>
      </c>
      <c r="AC90" s="69">
        <f t="shared" si="38"/>
        <v>0</v>
      </c>
      <c r="AD90" s="70">
        <f t="shared" si="39"/>
        <v>1.0526315789473684</v>
      </c>
      <c r="AE90" s="71">
        <f t="shared" si="40"/>
        <v>0.6</v>
      </c>
      <c r="AF90" s="71">
        <f t="shared" ca="1" si="41"/>
        <v>0.6</v>
      </c>
      <c r="AG90" s="72">
        <f t="shared" ca="1" si="42"/>
        <v>0.6</v>
      </c>
      <c r="AH90" s="177">
        <f t="shared" si="43"/>
        <v>6.2280701754385959</v>
      </c>
      <c r="AI90" s="185">
        <f t="shared" ca="1" si="44"/>
        <v>37.368421052631575</v>
      </c>
      <c r="AJ90" s="179" t="str">
        <f t="shared" ca="1" si="47"/>
        <v>Q3</v>
      </c>
      <c r="AK90" s="90" t="s">
        <v>329</v>
      </c>
      <c r="AL90" s="194"/>
      <c r="AM90" s="103"/>
      <c r="AN90" s="103"/>
      <c r="AO90" s="109"/>
      <c r="AP90" s="108">
        <v>600000</v>
      </c>
      <c r="AQ90" s="299"/>
      <c r="AR90" s="327"/>
      <c r="AS90" s="164"/>
      <c r="AT90" s="164"/>
      <c r="AU90" s="320">
        <f t="shared" si="48"/>
        <v>665230.72499999986</v>
      </c>
      <c r="AV90" s="324"/>
      <c r="AW90" s="89"/>
    </row>
    <row r="91" spans="1:49" ht="36" customHeight="1">
      <c r="A91" s="5"/>
      <c r="B91" s="229">
        <v>87</v>
      </c>
      <c r="C91" s="14"/>
      <c r="D91" s="168"/>
      <c r="E91" s="7" t="s">
        <v>127</v>
      </c>
      <c r="F91" s="8" t="s">
        <v>750</v>
      </c>
      <c r="G91" s="8" t="s">
        <v>128</v>
      </c>
      <c r="H91" s="213">
        <v>226218</v>
      </c>
      <c r="I91" s="50">
        <v>4</v>
      </c>
      <c r="J91" s="156">
        <v>0.1</v>
      </c>
      <c r="K91" s="50"/>
      <c r="L91" s="157"/>
      <c r="M91" s="158">
        <v>8.0000000000000053</v>
      </c>
      <c r="N91" s="159">
        <v>6.0000000000000036</v>
      </c>
      <c r="O91" s="159">
        <v>3</v>
      </c>
      <c r="P91" s="159">
        <v>3</v>
      </c>
      <c r="Q91" s="159">
        <v>8.0000000000000053</v>
      </c>
      <c r="R91" s="159">
        <v>6.0000000000000036</v>
      </c>
      <c r="S91" s="159">
        <v>2</v>
      </c>
      <c r="T91" s="160">
        <v>8.0000000000000053</v>
      </c>
      <c r="U91" s="245" t="e">
        <f t="shared" ca="1" si="30"/>
        <v>#DIV/0!</v>
      </c>
      <c r="V91" s="245">
        <f t="shared" ca="1" si="31"/>
        <v>0.1</v>
      </c>
      <c r="W91" s="241">
        <f t="shared" si="32"/>
        <v>1.2631578947368429</v>
      </c>
      <c r="X91" s="241">
        <f t="shared" si="33"/>
        <v>0.63157894736842146</v>
      </c>
      <c r="Y91" s="241">
        <f t="shared" si="34"/>
        <v>0.42105263157894735</v>
      </c>
      <c r="Z91" s="241">
        <f t="shared" si="35"/>
        <v>0.52631578947368418</v>
      </c>
      <c r="AA91" s="241">
        <f t="shared" si="36"/>
        <v>0.7017543859649128</v>
      </c>
      <c r="AB91" s="241">
        <f t="shared" si="37"/>
        <v>0.73684210526315841</v>
      </c>
      <c r="AC91" s="241">
        <f t="shared" si="38"/>
        <v>0.21052631578947367</v>
      </c>
      <c r="AD91" s="242">
        <f t="shared" si="39"/>
        <v>0.84210526315789525</v>
      </c>
      <c r="AE91" s="243">
        <f t="shared" si="40"/>
        <v>0.6</v>
      </c>
      <c r="AF91" s="243">
        <f t="shared" ca="1" si="41"/>
        <v>0.9</v>
      </c>
      <c r="AG91" s="202">
        <f t="shared" ca="1" si="42"/>
        <v>0.70000000000000007</v>
      </c>
      <c r="AH91" s="246">
        <f t="shared" si="43"/>
        <v>5.3333333333333357</v>
      </c>
      <c r="AI91" s="185">
        <f t="shared" ca="1" si="44"/>
        <v>37.33333333333335</v>
      </c>
      <c r="AJ91" s="179" t="str">
        <f t="shared" ca="1" si="47"/>
        <v>Q4</v>
      </c>
      <c r="AK91" s="88" t="s">
        <v>329</v>
      </c>
      <c r="AL91" s="100"/>
      <c r="AM91" s="268"/>
      <c r="AN91" s="103" t="s">
        <v>416</v>
      </c>
      <c r="AO91" s="109"/>
      <c r="AP91" s="108">
        <v>226218</v>
      </c>
      <c r="AQ91" s="299" t="s">
        <v>416</v>
      </c>
      <c r="AR91" s="327"/>
      <c r="AS91" s="164"/>
      <c r="AT91" s="164"/>
      <c r="AU91" s="320">
        <f t="shared" si="48"/>
        <v>250811.94024674993</v>
      </c>
      <c r="AV91" s="324"/>
      <c r="AW91" s="89"/>
    </row>
    <row r="92" spans="1:49" ht="36" customHeight="1">
      <c r="A92" s="5"/>
      <c r="B92" s="229">
        <v>88</v>
      </c>
      <c r="C92" s="6" t="s">
        <v>14</v>
      </c>
      <c r="D92" s="133" t="s">
        <v>15</v>
      </c>
      <c r="E92" s="10" t="s">
        <v>434</v>
      </c>
      <c r="F92" s="16" t="s">
        <v>525</v>
      </c>
      <c r="G92" s="8"/>
      <c r="H92" s="228">
        <v>4074600</v>
      </c>
      <c r="I92" s="51">
        <v>4</v>
      </c>
      <c r="J92" s="56">
        <v>0.3</v>
      </c>
      <c r="K92" s="50"/>
      <c r="L92" s="57"/>
      <c r="M92" s="62">
        <v>6</v>
      </c>
      <c r="N92" s="63">
        <v>6</v>
      </c>
      <c r="O92" s="63">
        <v>5</v>
      </c>
      <c r="P92" s="63">
        <v>8</v>
      </c>
      <c r="Q92" s="63">
        <v>2</v>
      </c>
      <c r="R92" s="63">
        <v>8</v>
      </c>
      <c r="S92" s="63">
        <v>0</v>
      </c>
      <c r="T92" s="64">
        <v>10</v>
      </c>
      <c r="U92" s="67" t="e">
        <f t="shared" ca="1" si="30"/>
        <v>#DIV/0!</v>
      </c>
      <c r="V92" s="67">
        <f t="shared" ca="1" si="31"/>
        <v>0.3</v>
      </c>
      <c r="W92" s="69">
        <f t="shared" si="32"/>
        <v>0.94736842105263153</v>
      </c>
      <c r="X92" s="69">
        <f t="shared" si="33"/>
        <v>0.63157894736842102</v>
      </c>
      <c r="Y92" s="69">
        <f t="shared" si="34"/>
        <v>0.70175438596491224</v>
      </c>
      <c r="Z92" s="69">
        <f t="shared" si="35"/>
        <v>1.4035087719298245</v>
      </c>
      <c r="AA92" s="69">
        <f t="shared" si="36"/>
        <v>0.17543859649122806</v>
      </c>
      <c r="AB92" s="69">
        <f t="shared" si="37"/>
        <v>0.98245614035087714</v>
      </c>
      <c r="AC92" s="69">
        <f t="shared" si="38"/>
        <v>0</v>
      </c>
      <c r="AD92" s="70">
        <f t="shared" si="39"/>
        <v>1.0526315789473684</v>
      </c>
      <c r="AE92" s="71">
        <f t="shared" si="40"/>
        <v>0.6</v>
      </c>
      <c r="AF92" s="71">
        <f t="shared" ca="1" si="41"/>
        <v>0.7</v>
      </c>
      <c r="AG92" s="72">
        <f t="shared" ca="1" si="42"/>
        <v>0.6333333333333333</v>
      </c>
      <c r="AH92" s="177">
        <f t="shared" si="43"/>
        <v>5.8947368421052628</v>
      </c>
      <c r="AI92" s="185">
        <f t="shared" ca="1" si="44"/>
        <v>37.333333333333329</v>
      </c>
      <c r="AJ92" s="179" t="str">
        <f t="shared" ca="1" si="47"/>
        <v>Q4</v>
      </c>
      <c r="AK92" s="90" t="s">
        <v>342</v>
      </c>
      <c r="AL92" s="100"/>
      <c r="AM92" s="277"/>
      <c r="AN92" s="98"/>
      <c r="AO92" s="98"/>
      <c r="AP92" s="108">
        <v>4074600</v>
      </c>
      <c r="AQ92" s="299"/>
      <c r="AR92" s="327"/>
      <c r="AS92" s="164"/>
      <c r="AT92" s="164"/>
      <c r="AU92" s="320">
        <f t="shared" si="48"/>
        <v>4517581.8534749988</v>
      </c>
      <c r="AV92" s="324"/>
      <c r="AW92" s="89"/>
    </row>
    <row r="93" spans="1:49" ht="36" customHeight="1">
      <c r="A93" s="5"/>
      <c r="B93" s="229">
        <v>89</v>
      </c>
      <c r="C93" s="6" t="s">
        <v>6</v>
      </c>
      <c r="D93" s="133" t="s">
        <v>7</v>
      </c>
      <c r="E93" s="18" t="s">
        <v>393</v>
      </c>
      <c r="F93" s="19" t="s">
        <v>419</v>
      </c>
      <c r="G93" s="20"/>
      <c r="H93" s="222">
        <v>150000</v>
      </c>
      <c r="I93" s="51">
        <v>3</v>
      </c>
      <c r="J93" s="56">
        <v>0.3</v>
      </c>
      <c r="K93" s="50"/>
      <c r="L93" s="57"/>
      <c r="M93" s="62">
        <v>6</v>
      </c>
      <c r="N93" s="63">
        <v>6.0000000000000036</v>
      </c>
      <c r="O93" s="63">
        <v>3</v>
      </c>
      <c r="P93" s="63">
        <v>8</v>
      </c>
      <c r="Q93" s="63">
        <v>4</v>
      </c>
      <c r="R93" s="63">
        <v>6</v>
      </c>
      <c r="S93" s="63">
        <v>0</v>
      </c>
      <c r="T93" s="64">
        <v>8</v>
      </c>
      <c r="U93" s="67" t="e">
        <f t="shared" ca="1" si="30"/>
        <v>#DIV/0!</v>
      </c>
      <c r="V93" s="67">
        <f t="shared" ca="1" si="31"/>
        <v>0.3</v>
      </c>
      <c r="W93" s="69">
        <f t="shared" si="32"/>
        <v>0.94736842105263153</v>
      </c>
      <c r="X93" s="69">
        <f t="shared" si="33"/>
        <v>0.63157894736842146</v>
      </c>
      <c r="Y93" s="69">
        <f t="shared" si="34"/>
        <v>0.42105263157894735</v>
      </c>
      <c r="Z93" s="69">
        <f t="shared" si="35"/>
        <v>1.4035087719298245</v>
      </c>
      <c r="AA93" s="69">
        <f t="shared" si="36"/>
        <v>0.35087719298245612</v>
      </c>
      <c r="AB93" s="69">
        <f t="shared" si="37"/>
        <v>0.73684210526315785</v>
      </c>
      <c r="AC93" s="69">
        <f t="shared" si="38"/>
        <v>0</v>
      </c>
      <c r="AD93" s="70">
        <f t="shared" si="39"/>
        <v>0.84210526315789469</v>
      </c>
      <c r="AE93" s="71">
        <f t="shared" si="40"/>
        <v>0.7</v>
      </c>
      <c r="AF93" s="71">
        <f t="shared" ca="1" si="41"/>
        <v>0.7</v>
      </c>
      <c r="AG93" s="72">
        <f t="shared" ca="1" si="42"/>
        <v>0.69999999999999984</v>
      </c>
      <c r="AH93" s="177">
        <f t="shared" si="43"/>
        <v>5.333333333333333</v>
      </c>
      <c r="AI93" s="185">
        <f t="shared" ca="1" si="44"/>
        <v>37.333333333333329</v>
      </c>
      <c r="AJ93" s="179" t="str">
        <f t="shared" ca="1" si="47"/>
        <v>Q4</v>
      </c>
      <c r="AK93" s="88" t="s">
        <v>329</v>
      </c>
      <c r="AL93" s="100"/>
      <c r="AM93" s="268"/>
      <c r="AN93" s="103"/>
      <c r="AO93" s="103"/>
      <c r="AP93" s="108">
        <v>150000</v>
      </c>
      <c r="AQ93" s="299"/>
      <c r="AR93" s="327"/>
      <c r="AS93" s="164"/>
      <c r="AT93" s="164"/>
      <c r="AU93" s="320">
        <f t="shared" si="48"/>
        <v>166307.68124999997</v>
      </c>
      <c r="AV93" s="324"/>
      <c r="AW93" s="89"/>
    </row>
    <row r="94" spans="1:49" ht="36" customHeight="1">
      <c r="A94" s="1"/>
      <c r="B94" s="229">
        <v>90</v>
      </c>
      <c r="C94" s="2" t="s">
        <v>14</v>
      </c>
      <c r="D94" s="132" t="s">
        <v>15</v>
      </c>
      <c r="E94" s="3" t="s">
        <v>440</v>
      </c>
      <c r="F94" s="4" t="s">
        <v>441</v>
      </c>
      <c r="G94" s="4"/>
      <c r="H94" s="212">
        <v>600000</v>
      </c>
      <c r="I94" s="138">
        <v>2</v>
      </c>
      <c r="J94" s="139">
        <v>0.2</v>
      </c>
      <c r="K94" s="138"/>
      <c r="L94" s="140"/>
      <c r="M94" s="62">
        <v>5</v>
      </c>
      <c r="N94" s="63">
        <v>4.0000000000000027</v>
      </c>
      <c r="O94" s="63">
        <v>4.0000000000000027</v>
      </c>
      <c r="P94" s="63">
        <v>6.0000000000000036</v>
      </c>
      <c r="Q94" s="63">
        <v>4.0000000000000027</v>
      </c>
      <c r="R94" s="63">
        <v>6</v>
      </c>
      <c r="S94" s="63">
        <v>0</v>
      </c>
      <c r="T94" s="64">
        <v>7</v>
      </c>
      <c r="U94" s="141" t="e">
        <f t="shared" ca="1" si="30"/>
        <v>#DIV/0!</v>
      </c>
      <c r="V94" s="141">
        <f t="shared" ca="1" si="31"/>
        <v>0.2</v>
      </c>
      <c r="W94" s="69">
        <f t="shared" si="32"/>
        <v>0.78947368421052633</v>
      </c>
      <c r="X94" s="69">
        <f t="shared" si="33"/>
        <v>0.42105263157894762</v>
      </c>
      <c r="Y94" s="69">
        <f t="shared" si="34"/>
        <v>0.56140350877193024</v>
      </c>
      <c r="Z94" s="69">
        <f t="shared" si="35"/>
        <v>1.052631578947369</v>
      </c>
      <c r="AA94" s="69">
        <f t="shared" si="36"/>
        <v>0.3508771929824564</v>
      </c>
      <c r="AB94" s="69">
        <f t="shared" si="37"/>
        <v>0.73684210526315785</v>
      </c>
      <c r="AC94" s="69">
        <f t="shared" si="38"/>
        <v>0</v>
      </c>
      <c r="AD94" s="70">
        <f t="shared" si="39"/>
        <v>0.73684210526315785</v>
      </c>
      <c r="AE94" s="71">
        <f t="shared" si="40"/>
        <v>0.8</v>
      </c>
      <c r="AF94" s="71">
        <f t="shared" ca="1" si="41"/>
        <v>0.8</v>
      </c>
      <c r="AG94" s="72">
        <f t="shared" ca="1" si="42"/>
        <v>0.80000000000000016</v>
      </c>
      <c r="AH94" s="176">
        <f t="shared" si="43"/>
        <v>4.6491228070175454</v>
      </c>
      <c r="AI94" s="184">
        <f t="shared" ca="1" si="44"/>
        <v>37.192982456140371</v>
      </c>
      <c r="AJ94" s="179" t="str">
        <f t="shared" ca="1" si="47"/>
        <v>Q2</v>
      </c>
      <c r="AK94" s="135" t="s">
        <v>342</v>
      </c>
      <c r="AL94" s="274"/>
      <c r="AM94" s="268"/>
      <c r="AN94" s="103"/>
      <c r="AO94" s="103"/>
      <c r="AP94" s="108">
        <v>600000</v>
      </c>
      <c r="AQ94" s="299"/>
      <c r="AR94" s="327"/>
      <c r="AS94" s="164"/>
      <c r="AT94" s="164"/>
      <c r="AU94" s="320">
        <f t="shared" si="48"/>
        <v>665230.72499999986</v>
      </c>
      <c r="AV94" s="324"/>
      <c r="AW94" s="87"/>
    </row>
    <row r="95" spans="1:49" ht="36" customHeight="1">
      <c r="A95" s="5">
        <v>202</v>
      </c>
      <c r="B95" s="229">
        <v>91</v>
      </c>
      <c r="C95" s="6" t="s">
        <v>42</v>
      </c>
      <c r="D95" s="133" t="s">
        <v>7</v>
      </c>
      <c r="E95" s="18" t="s">
        <v>437</v>
      </c>
      <c r="F95" s="20" t="s">
        <v>470</v>
      </c>
      <c r="G95" s="20" t="s">
        <v>147</v>
      </c>
      <c r="H95" s="216">
        <v>140000</v>
      </c>
      <c r="I95" s="51">
        <v>3</v>
      </c>
      <c r="J95" s="56">
        <v>0.1</v>
      </c>
      <c r="K95" s="50"/>
      <c r="L95" s="57"/>
      <c r="M95" s="62">
        <v>6</v>
      </c>
      <c r="N95" s="63">
        <v>6</v>
      </c>
      <c r="O95" s="63">
        <v>2</v>
      </c>
      <c r="P95" s="63">
        <v>8</v>
      </c>
      <c r="Q95" s="63">
        <v>4.0000000000000027</v>
      </c>
      <c r="R95" s="63">
        <v>4.0000000000000027</v>
      </c>
      <c r="S95" s="63">
        <v>0</v>
      </c>
      <c r="T95" s="64">
        <v>7</v>
      </c>
      <c r="U95" s="67" t="e">
        <f t="shared" ca="1" si="30"/>
        <v>#DIV/0!</v>
      </c>
      <c r="V95" s="67">
        <f t="shared" ca="1" si="31"/>
        <v>0.1</v>
      </c>
      <c r="W95" s="69">
        <f t="shared" si="32"/>
        <v>0.94736842105263153</v>
      </c>
      <c r="X95" s="69">
        <f t="shared" si="33"/>
        <v>0.63157894736842102</v>
      </c>
      <c r="Y95" s="69">
        <f t="shared" si="34"/>
        <v>0.2807017543859649</v>
      </c>
      <c r="Z95" s="69">
        <f t="shared" si="35"/>
        <v>1.4035087719298245</v>
      </c>
      <c r="AA95" s="69">
        <f t="shared" si="36"/>
        <v>0.3508771929824564</v>
      </c>
      <c r="AB95" s="69">
        <f t="shared" si="37"/>
        <v>0.4912280701754389</v>
      </c>
      <c r="AC95" s="69">
        <f t="shared" si="38"/>
        <v>0</v>
      </c>
      <c r="AD95" s="70">
        <f t="shared" si="39"/>
        <v>0.73684210526315785</v>
      </c>
      <c r="AE95" s="71">
        <f t="shared" si="40"/>
        <v>0.7</v>
      </c>
      <c r="AF95" s="71">
        <f t="shared" ca="1" si="41"/>
        <v>0.9</v>
      </c>
      <c r="AG95" s="72">
        <f t="shared" ca="1" si="42"/>
        <v>0.76666666666666661</v>
      </c>
      <c r="AH95" s="177">
        <f t="shared" si="43"/>
        <v>4.8421052631578947</v>
      </c>
      <c r="AI95" s="185">
        <f t="shared" ca="1" si="44"/>
        <v>37.122807017543856</v>
      </c>
      <c r="AJ95" s="179" t="str">
        <f t="shared" ca="1" si="47"/>
        <v>Q2</v>
      </c>
      <c r="AK95" s="90" t="s">
        <v>329</v>
      </c>
      <c r="AL95" s="101"/>
      <c r="AM95" s="268"/>
      <c r="AN95" s="103"/>
      <c r="AO95" s="103"/>
      <c r="AP95" s="108">
        <v>140000</v>
      </c>
      <c r="AQ95" s="299"/>
      <c r="AR95" s="327"/>
      <c r="AS95" s="164"/>
      <c r="AT95" s="164"/>
      <c r="AU95" s="320">
        <f t="shared" si="48"/>
        <v>155220.50249999997</v>
      </c>
      <c r="AV95" s="324"/>
      <c r="AW95" s="89"/>
    </row>
    <row r="96" spans="1:49" ht="36" customHeight="1">
      <c r="A96" s="5"/>
      <c r="B96" s="229">
        <v>92</v>
      </c>
      <c r="C96" s="14" t="s">
        <v>20</v>
      </c>
      <c r="D96" s="168" t="s">
        <v>384</v>
      </c>
      <c r="E96" s="32" t="s">
        <v>730</v>
      </c>
      <c r="F96" s="23" t="s">
        <v>731</v>
      </c>
      <c r="G96" s="13"/>
      <c r="H96" s="213">
        <v>81000</v>
      </c>
      <c r="I96" s="50">
        <v>4</v>
      </c>
      <c r="J96" s="156">
        <v>0.3</v>
      </c>
      <c r="K96" s="50"/>
      <c r="L96" s="157"/>
      <c r="M96" s="158">
        <v>8</v>
      </c>
      <c r="N96" s="159">
        <v>5</v>
      </c>
      <c r="O96" s="159">
        <v>2</v>
      </c>
      <c r="P96" s="159">
        <v>9</v>
      </c>
      <c r="Q96" s="159">
        <v>5</v>
      </c>
      <c r="R96" s="159">
        <v>5</v>
      </c>
      <c r="S96" s="159">
        <v>1</v>
      </c>
      <c r="T96" s="160">
        <v>10</v>
      </c>
      <c r="U96" s="245" t="e">
        <f t="shared" ca="1" si="30"/>
        <v>#DIV/0!</v>
      </c>
      <c r="V96" s="245">
        <f t="shared" ca="1" si="31"/>
        <v>0.3</v>
      </c>
      <c r="W96" s="241">
        <f t="shared" si="32"/>
        <v>1.263157894736842</v>
      </c>
      <c r="X96" s="241">
        <f t="shared" si="33"/>
        <v>0.52631578947368418</v>
      </c>
      <c r="Y96" s="241">
        <f t="shared" si="34"/>
        <v>0.2807017543859649</v>
      </c>
      <c r="Z96" s="241">
        <f t="shared" si="35"/>
        <v>1.5789473684210527</v>
      </c>
      <c r="AA96" s="241">
        <f t="shared" si="36"/>
        <v>0.43859649122807015</v>
      </c>
      <c r="AB96" s="241">
        <f t="shared" si="37"/>
        <v>0.61403508771929827</v>
      </c>
      <c r="AC96" s="241">
        <f t="shared" si="38"/>
        <v>0.10526315789473684</v>
      </c>
      <c r="AD96" s="242">
        <f t="shared" si="39"/>
        <v>1.0526315789473684</v>
      </c>
      <c r="AE96" s="243">
        <f t="shared" si="40"/>
        <v>0.6</v>
      </c>
      <c r="AF96" s="243">
        <f t="shared" ca="1" si="41"/>
        <v>0.7</v>
      </c>
      <c r="AG96" s="202">
        <f t="shared" ca="1" si="42"/>
        <v>0.6333333333333333</v>
      </c>
      <c r="AH96" s="246">
        <f t="shared" si="43"/>
        <v>5.8596491228070171</v>
      </c>
      <c r="AI96" s="185">
        <f t="shared" ca="1" si="44"/>
        <v>37.111111111111107</v>
      </c>
      <c r="AJ96" s="179" t="str">
        <f t="shared" ca="1" si="47"/>
        <v>Q4</v>
      </c>
      <c r="AK96" s="88" t="s">
        <v>430</v>
      </c>
      <c r="AL96" s="276"/>
      <c r="AM96" s="268"/>
      <c r="AN96" s="103"/>
      <c r="AO96" s="183"/>
      <c r="AP96" s="108">
        <v>81000</v>
      </c>
      <c r="AQ96" s="299"/>
      <c r="AR96" s="327"/>
      <c r="AS96" s="164"/>
      <c r="AT96" s="164"/>
      <c r="AU96" s="320">
        <f t="shared" si="48"/>
        <v>89806.147874999981</v>
      </c>
      <c r="AV96" s="324"/>
      <c r="AW96" s="89"/>
    </row>
    <row r="97" spans="1:49" ht="36" customHeight="1">
      <c r="A97" s="5"/>
      <c r="B97" s="229">
        <v>93</v>
      </c>
      <c r="C97" s="6" t="s">
        <v>14</v>
      </c>
      <c r="D97" s="133" t="s">
        <v>385</v>
      </c>
      <c r="E97" s="10" t="s">
        <v>632</v>
      </c>
      <c r="F97" s="17" t="s">
        <v>634</v>
      </c>
      <c r="G97" s="17"/>
      <c r="H97" s="213">
        <v>130000</v>
      </c>
      <c r="I97" s="50">
        <v>4</v>
      </c>
      <c r="J97" s="156">
        <v>0.3</v>
      </c>
      <c r="K97" s="50"/>
      <c r="L97" s="157"/>
      <c r="M97" s="158">
        <v>6</v>
      </c>
      <c r="N97" s="159">
        <v>8</v>
      </c>
      <c r="O97" s="159">
        <v>6</v>
      </c>
      <c r="P97" s="159">
        <v>8</v>
      </c>
      <c r="Q97" s="159">
        <v>4</v>
      </c>
      <c r="R97" s="159">
        <v>6</v>
      </c>
      <c r="S97" s="159">
        <v>1</v>
      </c>
      <c r="T97" s="160">
        <v>6</v>
      </c>
      <c r="U97" s="245" t="e">
        <f t="shared" ca="1" si="30"/>
        <v>#DIV/0!</v>
      </c>
      <c r="V97" s="245">
        <f t="shared" ca="1" si="31"/>
        <v>0.3</v>
      </c>
      <c r="W97" s="241">
        <f t="shared" si="32"/>
        <v>0.94736842105263153</v>
      </c>
      <c r="X97" s="241">
        <f t="shared" si="33"/>
        <v>0.84210526315789469</v>
      </c>
      <c r="Y97" s="241">
        <f t="shared" si="34"/>
        <v>0.84210526315789469</v>
      </c>
      <c r="Z97" s="241">
        <f t="shared" si="35"/>
        <v>1.4035087719298245</v>
      </c>
      <c r="AA97" s="241">
        <f t="shared" si="36"/>
        <v>0.35087719298245612</v>
      </c>
      <c r="AB97" s="241">
        <f t="shared" si="37"/>
        <v>0.73684210526315785</v>
      </c>
      <c r="AC97" s="241">
        <f t="shared" si="38"/>
        <v>0.10526315789473684</v>
      </c>
      <c r="AD97" s="242">
        <f t="shared" si="39"/>
        <v>0.63157894736842102</v>
      </c>
      <c r="AE97" s="243">
        <f t="shared" si="40"/>
        <v>0.6</v>
      </c>
      <c r="AF97" s="243">
        <f t="shared" ca="1" si="41"/>
        <v>0.7</v>
      </c>
      <c r="AG97" s="202">
        <f t="shared" ca="1" si="42"/>
        <v>0.6333333333333333</v>
      </c>
      <c r="AH97" s="246">
        <f t="shared" si="43"/>
        <v>5.8596491228070171</v>
      </c>
      <c r="AI97" s="185">
        <f t="shared" ca="1" si="44"/>
        <v>37.111111111111107</v>
      </c>
      <c r="AJ97" s="179" t="str">
        <f t="shared" ca="1" si="47"/>
        <v>Q4</v>
      </c>
      <c r="AK97" s="88" t="s">
        <v>342</v>
      </c>
      <c r="AL97" s="100"/>
      <c r="AM97" s="268"/>
      <c r="AN97" s="103"/>
      <c r="AO97" s="314"/>
      <c r="AP97" s="201">
        <v>130000</v>
      </c>
      <c r="AQ97" s="302"/>
      <c r="AR97" s="327"/>
      <c r="AS97" s="164"/>
      <c r="AT97" s="164"/>
      <c r="AU97" s="320">
        <f t="shared" si="48"/>
        <v>144133.32374999995</v>
      </c>
      <c r="AV97" s="324"/>
      <c r="AW97" s="89"/>
    </row>
    <row r="98" spans="1:49" ht="36" customHeight="1">
      <c r="A98" s="5"/>
      <c r="B98" s="229">
        <v>94</v>
      </c>
      <c r="C98" s="14" t="s">
        <v>20</v>
      </c>
      <c r="D98" s="168" t="s">
        <v>384</v>
      </c>
      <c r="E98" s="32" t="s">
        <v>729</v>
      </c>
      <c r="F98" s="23" t="s">
        <v>732</v>
      </c>
      <c r="G98" s="13"/>
      <c r="H98" s="213">
        <v>81000</v>
      </c>
      <c r="I98" s="50">
        <v>4</v>
      </c>
      <c r="J98" s="156">
        <v>0.3</v>
      </c>
      <c r="K98" s="50"/>
      <c r="L98" s="157"/>
      <c r="M98" s="158">
        <v>8</v>
      </c>
      <c r="N98" s="159">
        <v>5</v>
      </c>
      <c r="O98" s="159">
        <v>2</v>
      </c>
      <c r="P98" s="159">
        <v>9</v>
      </c>
      <c r="Q98" s="159">
        <v>5</v>
      </c>
      <c r="R98" s="159">
        <v>5</v>
      </c>
      <c r="S98" s="159">
        <v>1</v>
      </c>
      <c r="T98" s="160">
        <v>10</v>
      </c>
      <c r="U98" s="245" t="e">
        <f t="shared" ca="1" si="30"/>
        <v>#DIV/0!</v>
      </c>
      <c r="V98" s="245">
        <f t="shared" ca="1" si="31"/>
        <v>0.3</v>
      </c>
      <c r="W98" s="241">
        <f t="shared" si="32"/>
        <v>1.263157894736842</v>
      </c>
      <c r="X98" s="241">
        <f t="shared" si="33"/>
        <v>0.52631578947368418</v>
      </c>
      <c r="Y98" s="241">
        <f t="shared" si="34"/>
        <v>0.2807017543859649</v>
      </c>
      <c r="Z98" s="241">
        <f t="shared" si="35"/>
        <v>1.5789473684210527</v>
      </c>
      <c r="AA98" s="241">
        <f t="shared" si="36"/>
        <v>0.43859649122807015</v>
      </c>
      <c r="AB98" s="241">
        <f t="shared" si="37"/>
        <v>0.61403508771929827</v>
      </c>
      <c r="AC98" s="241">
        <f t="shared" si="38"/>
        <v>0.10526315789473684</v>
      </c>
      <c r="AD98" s="242">
        <f t="shared" si="39"/>
        <v>1.0526315789473684</v>
      </c>
      <c r="AE98" s="243">
        <f t="shared" si="40"/>
        <v>0.6</v>
      </c>
      <c r="AF98" s="243">
        <f t="shared" ca="1" si="41"/>
        <v>0.7</v>
      </c>
      <c r="AG98" s="202">
        <f t="shared" ca="1" si="42"/>
        <v>0.6333333333333333</v>
      </c>
      <c r="AH98" s="246">
        <f t="shared" si="43"/>
        <v>5.8596491228070171</v>
      </c>
      <c r="AI98" s="185">
        <f t="shared" ca="1" si="44"/>
        <v>37.111111111111107</v>
      </c>
      <c r="AJ98" s="179" t="str">
        <f t="shared" ca="1" si="47"/>
        <v>Q4</v>
      </c>
      <c r="AK98" s="88" t="s">
        <v>430</v>
      </c>
      <c r="AL98" s="100"/>
      <c r="AM98" s="268"/>
      <c r="AN98" s="103"/>
      <c r="AO98" s="103"/>
      <c r="AP98" s="108">
        <v>81000</v>
      </c>
      <c r="AQ98" s="299"/>
      <c r="AR98" s="327"/>
      <c r="AS98" s="164"/>
      <c r="AT98" s="164"/>
      <c r="AU98" s="320">
        <f t="shared" si="48"/>
        <v>89806.147874999981</v>
      </c>
      <c r="AV98" s="324"/>
      <c r="AW98" s="89"/>
    </row>
    <row r="99" spans="1:49" ht="36" customHeight="1">
      <c r="A99" s="1">
        <v>260</v>
      </c>
      <c r="B99" s="229">
        <v>95</v>
      </c>
      <c r="C99" s="2" t="s">
        <v>20</v>
      </c>
      <c r="D99" s="132" t="s">
        <v>384</v>
      </c>
      <c r="E99" s="167" t="s">
        <v>711</v>
      </c>
      <c r="F99" s="306" t="s">
        <v>661</v>
      </c>
      <c r="G99" s="306"/>
      <c r="H99" s="214">
        <v>63500</v>
      </c>
      <c r="I99" s="142">
        <v>3</v>
      </c>
      <c r="J99" s="139">
        <v>0.3</v>
      </c>
      <c r="K99" s="138"/>
      <c r="L99" s="140"/>
      <c r="M99" s="62">
        <v>6.0000000000000036</v>
      </c>
      <c r="N99" s="63">
        <v>8</v>
      </c>
      <c r="O99" s="63">
        <v>2</v>
      </c>
      <c r="P99" s="63">
        <v>8.0000000000000053</v>
      </c>
      <c r="Q99" s="63">
        <v>0</v>
      </c>
      <c r="R99" s="63">
        <v>8.0000000000000053</v>
      </c>
      <c r="S99" s="63">
        <v>0</v>
      </c>
      <c r="T99" s="64">
        <v>8</v>
      </c>
      <c r="U99" s="141" t="e">
        <f t="shared" ca="1" si="30"/>
        <v>#DIV/0!</v>
      </c>
      <c r="V99" s="141">
        <f t="shared" ca="1" si="31"/>
        <v>0.3</v>
      </c>
      <c r="W99" s="69">
        <f t="shared" si="32"/>
        <v>0.94736842105263208</v>
      </c>
      <c r="X99" s="69">
        <f t="shared" si="33"/>
        <v>0.84210526315789469</v>
      </c>
      <c r="Y99" s="69">
        <f t="shared" si="34"/>
        <v>0.2807017543859649</v>
      </c>
      <c r="Z99" s="69">
        <f t="shared" si="35"/>
        <v>1.4035087719298256</v>
      </c>
      <c r="AA99" s="69">
        <f t="shared" si="36"/>
        <v>0</v>
      </c>
      <c r="AB99" s="69">
        <f t="shared" si="37"/>
        <v>0.9824561403508778</v>
      </c>
      <c r="AC99" s="69">
        <f t="shared" si="38"/>
        <v>0</v>
      </c>
      <c r="AD99" s="70">
        <f t="shared" si="39"/>
        <v>0.84210526315789469</v>
      </c>
      <c r="AE99" s="71">
        <f t="shared" si="40"/>
        <v>0.7</v>
      </c>
      <c r="AF99" s="71">
        <f t="shared" ca="1" si="41"/>
        <v>0.7</v>
      </c>
      <c r="AG99" s="72">
        <f t="shared" ca="1" si="42"/>
        <v>0.69999999999999984</v>
      </c>
      <c r="AH99" s="176">
        <f t="shared" si="43"/>
        <v>5.2982456140350891</v>
      </c>
      <c r="AI99" s="184">
        <f t="shared" ca="1" si="44"/>
        <v>37.087719298245617</v>
      </c>
      <c r="AJ99" s="179" t="str">
        <f t="shared" ca="1" si="47"/>
        <v>Q4</v>
      </c>
      <c r="AK99" s="135" t="s">
        <v>662</v>
      </c>
      <c r="AL99" s="101"/>
      <c r="AM99" s="268"/>
      <c r="AN99" s="103"/>
      <c r="AO99" s="103"/>
      <c r="AP99" s="108">
        <v>63500</v>
      </c>
      <c r="AQ99" s="299"/>
      <c r="AR99" s="327"/>
      <c r="AS99" s="164"/>
      <c r="AT99" s="164"/>
      <c r="AU99" s="320">
        <f t="shared" si="48"/>
        <v>70403.585062499988</v>
      </c>
      <c r="AV99" s="324"/>
      <c r="AW99" s="87"/>
    </row>
    <row r="100" spans="1:49" ht="36" customHeight="1">
      <c r="A100" s="5">
        <v>292</v>
      </c>
      <c r="B100" s="229">
        <v>96</v>
      </c>
      <c r="C100" s="6" t="s">
        <v>6</v>
      </c>
      <c r="D100" s="133" t="s">
        <v>7</v>
      </c>
      <c r="E100" s="7" t="s">
        <v>215</v>
      </c>
      <c r="F100" s="9" t="s">
        <v>216</v>
      </c>
      <c r="G100" s="8"/>
      <c r="H100" s="213">
        <v>100000</v>
      </c>
      <c r="I100" s="50">
        <v>3</v>
      </c>
      <c r="J100" s="56">
        <v>0.3</v>
      </c>
      <c r="K100" s="50"/>
      <c r="L100" s="57"/>
      <c r="M100" s="62">
        <v>6.0000000000000036</v>
      </c>
      <c r="N100" s="63">
        <v>8.0000000000000053</v>
      </c>
      <c r="O100" s="63">
        <v>2</v>
      </c>
      <c r="P100" s="63">
        <v>8</v>
      </c>
      <c r="Q100" s="63">
        <v>0</v>
      </c>
      <c r="R100" s="63">
        <v>8</v>
      </c>
      <c r="S100" s="63">
        <v>0</v>
      </c>
      <c r="T100" s="64">
        <v>8</v>
      </c>
      <c r="U100" s="67" t="e">
        <f t="shared" ca="1" si="30"/>
        <v>#DIV/0!</v>
      </c>
      <c r="V100" s="67">
        <f t="shared" ca="1" si="31"/>
        <v>0.3</v>
      </c>
      <c r="W100" s="69">
        <f t="shared" si="32"/>
        <v>0.94736842105263208</v>
      </c>
      <c r="X100" s="69">
        <f t="shared" si="33"/>
        <v>0.84210526315789525</v>
      </c>
      <c r="Y100" s="69">
        <f t="shared" si="34"/>
        <v>0.2807017543859649</v>
      </c>
      <c r="Z100" s="69">
        <f t="shared" si="35"/>
        <v>1.4035087719298245</v>
      </c>
      <c r="AA100" s="69">
        <f t="shared" si="36"/>
        <v>0</v>
      </c>
      <c r="AB100" s="69">
        <f t="shared" si="37"/>
        <v>0.98245614035087714</v>
      </c>
      <c r="AC100" s="69">
        <f t="shared" si="38"/>
        <v>0</v>
      </c>
      <c r="AD100" s="70">
        <f t="shared" si="39"/>
        <v>0.84210526315789469</v>
      </c>
      <c r="AE100" s="71">
        <f t="shared" si="40"/>
        <v>0.7</v>
      </c>
      <c r="AF100" s="71">
        <f t="shared" ca="1" si="41"/>
        <v>0.7</v>
      </c>
      <c r="AG100" s="72">
        <f t="shared" ca="1" si="42"/>
        <v>0.69999999999999984</v>
      </c>
      <c r="AH100" s="177">
        <f t="shared" si="43"/>
        <v>5.2982456140350882</v>
      </c>
      <c r="AI100" s="185">
        <f t="shared" ca="1" si="44"/>
        <v>37.087719298245609</v>
      </c>
      <c r="AJ100" s="179" t="str">
        <f t="shared" ca="1" si="47"/>
        <v>Q4</v>
      </c>
      <c r="AK100" s="88" t="s">
        <v>329</v>
      </c>
      <c r="AL100" s="276"/>
      <c r="AM100" s="268"/>
      <c r="AN100" s="103"/>
      <c r="AO100" s="103"/>
      <c r="AP100" s="108">
        <v>100000</v>
      </c>
      <c r="AQ100" s="299"/>
      <c r="AR100" s="327"/>
      <c r="AS100" s="164"/>
      <c r="AT100" s="164"/>
      <c r="AU100" s="320">
        <f t="shared" si="48"/>
        <v>110871.78749999998</v>
      </c>
      <c r="AV100" s="324"/>
      <c r="AW100" s="89"/>
    </row>
    <row r="101" spans="1:49" ht="36" customHeight="1">
      <c r="A101" s="5"/>
      <c r="B101" s="229">
        <v>97</v>
      </c>
      <c r="C101" s="6" t="s">
        <v>6</v>
      </c>
      <c r="D101" s="133" t="s">
        <v>7</v>
      </c>
      <c r="E101" s="7" t="s">
        <v>247</v>
      </c>
      <c r="F101" s="9" t="s">
        <v>472</v>
      </c>
      <c r="G101" s="8"/>
      <c r="H101" s="213">
        <v>100000</v>
      </c>
      <c r="I101" s="50">
        <v>3</v>
      </c>
      <c r="J101" s="56">
        <v>0.2</v>
      </c>
      <c r="K101" s="50"/>
      <c r="L101" s="57"/>
      <c r="M101" s="62">
        <v>6.0000000000000036</v>
      </c>
      <c r="N101" s="63">
        <v>8.0000000000000053</v>
      </c>
      <c r="O101" s="63">
        <v>2</v>
      </c>
      <c r="P101" s="63">
        <v>6</v>
      </c>
      <c r="Q101" s="63">
        <v>0</v>
      </c>
      <c r="R101" s="63">
        <v>8</v>
      </c>
      <c r="S101" s="63">
        <v>0</v>
      </c>
      <c r="T101" s="64">
        <v>9</v>
      </c>
      <c r="U101" s="67" t="e">
        <f t="shared" ca="1" si="30"/>
        <v>#DIV/0!</v>
      </c>
      <c r="V101" s="67">
        <f t="shared" ca="1" si="31"/>
        <v>0.2</v>
      </c>
      <c r="W101" s="69">
        <f t="shared" si="32"/>
        <v>0.94736842105263208</v>
      </c>
      <c r="X101" s="69">
        <f t="shared" si="33"/>
        <v>0.84210526315789525</v>
      </c>
      <c r="Y101" s="69">
        <f t="shared" si="34"/>
        <v>0.2807017543859649</v>
      </c>
      <c r="Z101" s="69">
        <f t="shared" si="35"/>
        <v>1.0526315789473684</v>
      </c>
      <c r="AA101" s="69">
        <f t="shared" si="36"/>
        <v>0</v>
      </c>
      <c r="AB101" s="69">
        <f t="shared" si="37"/>
        <v>0.98245614035087714</v>
      </c>
      <c r="AC101" s="69">
        <f t="shared" si="38"/>
        <v>0</v>
      </c>
      <c r="AD101" s="70">
        <f t="shared" si="39"/>
        <v>0.94736842105263153</v>
      </c>
      <c r="AE101" s="71">
        <f t="shared" si="40"/>
        <v>0.7</v>
      </c>
      <c r="AF101" s="71">
        <f t="shared" ca="1" si="41"/>
        <v>0.8</v>
      </c>
      <c r="AG101" s="72">
        <f t="shared" ca="1" si="42"/>
        <v>0.73333333333333339</v>
      </c>
      <c r="AH101" s="177">
        <f t="shared" si="43"/>
        <v>5.0526315789473699</v>
      </c>
      <c r="AI101" s="185">
        <f t="shared" ca="1" si="44"/>
        <v>37.052631578947384</v>
      </c>
      <c r="AJ101" s="179" t="str">
        <f t="shared" ca="1" si="47"/>
        <v>Q4</v>
      </c>
      <c r="AK101" s="88" t="s">
        <v>329</v>
      </c>
      <c r="AL101" s="193"/>
      <c r="AM101" s="103"/>
      <c r="AN101" s="103"/>
      <c r="AO101" s="103"/>
      <c r="AP101" s="108">
        <v>100000</v>
      </c>
      <c r="AQ101" s="299"/>
      <c r="AR101" s="327"/>
      <c r="AS101" s="164"/>
      <c r="AT101" s="164"/>
      <c r="AU101" s="320">
        <f t="shared" si="48"/>
        <v>110871.78749999998</v>
      </c>
      <c r="AV101" s="324"/>
      <c r="AW101" s="89"/>
    </row>
    <row r="102" spans="1:49" ht="36" customHeight="1">
      <c r="A102" s="5">
        <v>90</v>
      </c>
      <c r="B102" s="229">
        <v>98</v>
      </c>
      <c r="C102" s="14" t="s">
        <v>18</v>
      </c>
      <c r="D102" s="168" t="s">
        <v>383</v>
      </c>
      <c r="E102" s="238" t="s">
        <v>657</v>
      </c>
      <c r="F102" s="13" t="s">
        <v>733</v>
      </c>
      <c r="G102" s="102" t="s">
        <v>53</v>
      </c>
      <c r="H102" s="213">
        <v>1970000</v>
      </c>
      <c r="I102" s="50">
        <v>3</v>
      </c>
      <c r="J102" s="156">
        <v>0</v>
      </c>
      <c r="K102" s="50"/>
      <c r="L102" s="157"/>
      <c r="M102" s="158">
        <v>6</v>
      </c>
      <c r="N102" s="159">
        <v>8.0000000000000053</v>
      </c>
      <c r="O102" s="159">
        <v>2</v>
      </c>
      <c r="P102" s="159">
        <v>3</v>
      </c>
      <c r="Q102" s="159">
        <v>0</v>
      </c>
      <c r="R102" s="159">
        <v>8.0000000000000053</v>
      </c>
      <c r="S102" s="159">
        <v>0</v>
      </c>
      <c r="T102" s="160">
        <v>10</v>
      </c>
      <c r="U102" s="245" t="e">
        <f t="shared" ca="1" si="30"/>
        <v>#DIV/0!</v>
      </c>
      <c r="V102" s="245">
        <f t="shared" ca="1" si="31"/>
        <v>0</v>
      </c>
      <c r="W102" s="241">
        <f t="shared" si="32"/>
        <v>0.94736842105263153</v>
      </c>
      <c r="X102" s="241">
        <f t="shared" si="33"/>
        <v>0.84210526315789525</v>
      </c>
      <c r="Y102" s="241">
        <f t="shared" si="34"/>
        <v>0.2807017543859649</v>
      </c>
      <c r="Z102" s="241">
        <f t="shared" si="35"/>
        <v>0.52631578947368418</v>
      </c>
      <c r="AA102" s="241">
        <f t="shared" si="36"/>
        <v>0</v>
      </c>
      <c r="AB102" s="241">
        <f t="shared" si="37"/>
        <v>0.9824561403508778</v>
      </c>
      <c r="AC102" s="241">
        <f t="shared" si="38"/>
        <v>0</v>
      </c>
      <c r="AD102" s="242">
        <f t="shared" si="39"/>
        <v>1.0526315789473684</v>
      </c>
      <c r="AE102" s="243">
        <f t="shared" si="40"/>
        <v>0.7</v>
      </c>
      <c r="AF102" s="243">
        <f t="shared" ca="1" si="41"/>
        <v>1</v>
      </c>
      <c r="AG102" s="202">
        <f t="shared" ca="1" si="42"/>
        <v>0.79999999999999993</v>
      </c>
      <c r="AH102" s="246">
        <f t="shared" si="43"/>
        <v>4.6315789473684212</v>
      </c>
      <c r="AI102" s="185">
        <f t="shared" ca="1" si="44"/>
        <v>37.05263157894737</v>
      </c>
      <c r="AJ102" s="179" t="str">
        <f t="shared" ca="1" si="47"/>
        <v>Q2</v>
      </c>
      <c r="AK102" s="88" t="s">
        <v>338</v>
      </c>
      <c r="AL102" s="270">
        <v>320000</v>
      </c>
      <c r="AM102" s="269"/>
      <c r="AN102" s="103"/>
      <c r="AO102" s="103"/>
      <c r="AP102" s="108">
        <v>1650000</v>
      </c>
      <c r="AQ102" s="299"/>
      <c r="AR102" s="327"/>
      <c r="AS102" s="164"/>
      <c r="AT102" s="164"/>
      <c r="AU102" s="320">
        <f t="shared" si="48"/>
        <v>1829384.4937499997</v>
      </c>
      <c r="AV102" s="324"/>
      <c r="AW102" s="89"/>
    </row>
    <row r="103" spans="1:49" ht="36" customHeight="1">
      <c r="A103" s="5"/>
      <c r="B103" s="229">
        <v>99</v>
      </c>
      <c r="C103" s="6" t="s">
        <v>20</v>
      </c>
      <c r="D103" s="133" t="s">
        <v>385</v>
      </c>
      <c r="E103" s="227" t="s">
        <v>625</v>
      </c>
      <c r="F103" s="11" t="s">
        <v>508</v>
      </c>
      <c r="G103" s="20"/>
      <c r="H103" s="215">
        <v>150000</v>
      </c>
      <c r="I103" s="51">
        <v>3</v>
      </c>
      <c r="J103" s="56">
        <v>0.2</v>
      </c>
      <c r="K103" s="50"/>
      <c r="L103" s="57"/>
      <c r="M103" s="62">
        <v>4</v>
      </c>
      <c r="N103" s="63">
        <v>6</v>
      </c>
      <c r="O103" s="63">
        <v>6</v>
      </c>
      <c r="P103" s="63">
        <v>7</v>
      </c>
      <c r="Q103" s="63">
        <v>4</v>
      </c>
      <c r="R103" s="63">
        <v>6</v>
      </c>
      <c r="S103" s="63">
        <v>0</v>
      </c>
      <c r="T103" s="64">
        <v>6</v>
      </c>
      <c r="U103" s="67" t="e">
        <f t="shared" ca="1" si="30"/>
        <v>#DIV/0!</v>
      </c>
      <c r="V103" s="67">
        <f t="shared" ca="1" si="31"/>
        <v>0.2</v>
      </c>
      <c r="W103" s="69">
        <f t="shared" si="32"/>
        <v>0.63157894736842102</v>
      </c>
      <c r="X103" s="69">
        <f t="shared" si="33"/>
        <v>0.63157894736842102</v>
      </c>
      <c r="Y103" s="69">
        <f t="shared" si="34"/>
        <v>0.84210526315789469</v>
      </c>
      <c r="Z103" s="69">
        <f t="shared" si="35"/>
        <v>1.2280701754385965</v>
      </c>
      <c r="AA103" s="69">
        <f t="shared" si="36"/>
        <v>0.35087719298245612</v>
      </c>
      <c r="AB103" s="69">
        <f t="shared" si="37"/>
        <v>0.73684210526315785</v>
      </c>
      <c r="AC103" s="69">
        <f t="shared" si="38"/>
        <v>0</v>
      </c>
      <c r="AD103" s="70">
        <f t="shared" si="39"/>
        <v>0.63157894736842102</v>
      </c>
      <c r="AE103" s="71">
        <f t="shared" si="40"/>
        <v>0.7</v>
      </c>
      <c r="AF103" s="71">
        <f t="shared" ca="1" si="41"/>
        <v>0.8</v>
      </c>
      <c r="AG103" s="72">
        <f t="shared" ca="1" si="42"/>
        <v>0.73333333333333339</v>
      </c>
      <c r="AH103" s="177">
        <f t="shared" si="43"/>
        <v>5.0526315789473681</v>
      </c>
      <c r="AI103" s="185">
        <f t="shared" ca="1" si="44"/>
        <v>37.05263157894737</v>
      </c>
      <c r="AJ103" s="179" t="str">
        <f t="shared" ca="1" si="47"/>
        <v>Q4</v>
      </c>
      <c r="AK103" s="90" t="s">
        <v>329</v>
      </c>
      <c r="AL103" s="101"/>
      <c r="AM103" s="269"/>
      <c r="AN103" s="103"/>
      <c r="AO103" s="103"/>
      <c r="AP103" s="108">
        <v>150000</v>
      </c>
      <c r="AQ103" s="299"/>
      <c r="AR103" s="327"/>
      <c r="AS103" s="164"/>
      <c r="AT103" s="164"/>
      <c r="AU103" s="320">
        <f t="shared" si="48"/>
        <v>166307.68124999997</v>
      </c>
      <c r="AV103" s="324"/>
      <c r="AW103" s="89"/>
    </row>
    <row r="104" spans="1:49" ht="36" customHeight="1">
      <c r="A104" s="5"/>
      <c r="B104" s="229">
        <v>100</v>
      </c>
      <c r="C104" s="6" t="s">
        <v>9</v>
      </c>
      <c r="D104" s="133" t="s">
        <v>10</v>
      </c>
      <c r="E104" s="10" t="s">
        <v>248</v>
      </c>
      <c r="F104" s="11" t="s">
        <v>646</v>
      </c>
      <c r="G104" s="106" t="s">
        <v>249</v>
      </c>
      <c r="H104" s="215">
        <v>130000</v>
      </c>
      <c r="I104" s="51">
        <v>3</v>
      </c>
      <c r="J104" s="56">
        <v>0.1</v>
      </c>
      <c r="K104" s="50"/>
      <c r="L104" s="57"/>
      <c r="M104" s="62">
        <v>4.0000000000000027</v>
      </c>
      <c r="N104" s="63">
        <v>6.0000000000000036</v>
      </c>
      <c r="O104" s="63">
        <v>6.0000000000000036</v>
      </c>
      <c r="P104" s="63">
        <v>4.0000000000000027</v>
      </c>
      <c r="Q104" s="63">
        <v>6</v>
      </c>
      <c r="R104" s="63">
        <v>6.0000000000000036</v>
      </c>
      <c r="S104" s="63">
        <v>0</v>
      </c>
      <c r="T104" s="64">
        <v>7</v>
      </c>
      <c r="U104" s="67" t="e">
        <f t="shared" ca="1" si="30"/>
        <v>#DIV/0!</v>
      </c>
      <c r="V104" s="67">
        <f t="shared" ca="1" si="31"/>
        <v>0.1</v>
      </c>
      <c r="W104" s="69">
        <f t="shared" si="32"/>
        <v>0.63157894736842146</v>
      </c>
      <c r="X104" s="69">
        <f t="shared" si="33"/>
        <v>0.63157894736842146</v>
      </c>
      <c r="Y104" s="69">
        <f t="shared" si="34"/>
        <v>0.84210526315789525</v>
      </c>
      <c r="Z104" s="69">
        <f t="shared" si="35"/>
        <v>0.7017543859649128</v>
      </c>
      <c r="AA104" s="69">
        <f t="shared" si="36"/>
        <v>0.52631578947368418</v>
      </c>
      <c r="AB104" s="69">
        <f t="shared" si="37"/>
        <v>0.73684210526315841</v>
      </c>
      <c r="AC104" s="69">
        <f t="shared" si="38"/>
        <v>0</v>
      </c>
      <c r="AD104" s="70">
        <f t="shared" si="39"/>
        <v>0.73684210526315785</v>
      </c>
      <c r="AE104" s="71">
        <f t="shared" si="40"/>
        <v>0.7</v>
      </c>
      <c r="AF104" s="71">
        <f t="shared" ca="1" si="41"/>
        <v>0.9</v>
      </c>
      <c r="AG104" s="72">
        <f t="shared" ca="1" si="42"/>
        <v>0.76666666666666661</v>
      </c>
      <c r="AH104" s="177">
        <f t="shared" si="43"/>
        <v>4.8070175438596507</v>
      </c>
      <c r="AI104" s="185">
        <f t="shared" ca="1" si="44"/>
        <v>36.853801169590653</v>
      </c>
      <c r="AJ104" s="179" t="str">
        <f t="shared" ca="1" si="47"/>
        <v>Q2</v>
      </c>
      <c r="AK104" s="90" t="s">
        <v>342</v>
      </c>
      <c r="AL104" s="101"/>
      <c r="AM104" s="269"/>
      <c r="AN104" s="103"/>
      <c r="AO104" s="103"/>
      <c r="AP104" s="108">
        <v>130000</v>
      </c>
      <c r="AQ104" s="299"/>
      <c r="AR104" s="327"/>
      <c r="AS104" s="164"/>
      <c r="AT104" s="164"/>
      <c r="AU104" s="320">
        <f t="shared" si="48"/>
        <v>144133.32374999995</v>
      </c>
      <c r="AV104" s="324"/>
      <c r="AW104" s="89"/>
    </row>
    <row r="105" spans="1:49" ht="36" customHeight="1">
      <c r="A105" s="5">
        <v>293</v>
      </c>
      <c r="B105" s="229">
        <v>101</v>
      </c>
      <c r="C105" s="6" t="s">
        <v>20</v>
      </c>
      <c r="D105" s="133" t="s">
        <v>384</v>
      </c>
      <c r="E105" s="18" t="s">
        <v>439</v>
      </c>
      <c r="F105" s="20" t="s">
        <v>443</v>
      </c>
      <c r="G105" s="20"/>
      <c r="H105" s="216">
        <v>150000</v>
      </c>
      <c r="I105" s="51">
        <v>3</v>
      </c>
      <c r="J105" s="56">
        <v>0.3</v>
      </c>
      <c r="K105" s="50"/>
      <c r="L105" s="57"/>
      <c r="M105" s="62">
        <v>4</v>
      </c>
      <c r="N105" s="63">
        <v>6</v>
      </c>
      <c r="O105" s="63">
        <v>1</v>
      </c>
      <c r="P105" s="63">
        <v>8</v>
      </c>
      <c r="Q105" s="63">
        <v>2</v>
      </c>
      <c r="R105" s="63">
        <v>10</v>
      </c>
      <c r="S105" s="63">
        <v>0</v>
      </c>
      <c r="T105" s="64">
        <v>10</v>
      </c>
      <c r="U105" s="67" t="e">
        <f t="shared" ca="1" si="30"/>
        <v>#DIV/0!</v>
      </c>
      <c r="V105" s="67">
        <f t="shared" ca="1" si="31"/>
        <v>0.3</v>
      </c>
      <c r="W105" s="69">
        <f t="shared" si="32"/>
        <v>0.63157894736842102</v>
      </c>
      <c r="X105" s="69">
        <f t="shared" si="33"/>
        <v>0.63157894736842102</v>
      </c>
      <c r="Y105" s="69">
        <f t="shared" si="34"/>
        <v>0.14035087719298245</v>
      </c>
      <c r="Z105" s="69">
        <f t="shared" si="35"/>
        <v>1.4035087719298245</v>
      </c>
      <c r="AA105" s="69">
        <f t="shared" si="36"/>
        <v>0.17543859649122806</v>
      </c>
      <c r="AB105" s="69">
        <f t="shared" si="37"/>
        <v>1.2280701754385965</v>
      </c>
      <c r="AC105" s="69">
        <f t="shared" si="38"/>
        <v>0</v>
      </c>
      <c r="AD105" s="70">
        <f t="shared" si="39"/>
        <v>1.0526315789473684</v>
      </c>
      <c r="AE105" s="71">
        <f t="shared" si="40"/>
        <v>0.7</v>
      </c>
      <c r="AF105" s="71">
        <f t="shared" ca="1" si="41"/>
        <v>0.7</v>
      </c>
      <c r="AG105" s="72">
        <f t="shared" ca="1" si="42"/>
        <v>0.69999999999999984</v>
      </c>
      <c r="AH105" s="177">
        <f t="shared" si="43"/>
        <v>5.2631578947368416</v>
      </c>
      <c r="AI105" s="185">
        <f t="shared" ca="1" si="44"/>
        <v>36.842105263157883</v>
      </c>
      <c r="AJ105" s="179" t="str">
        <f t="shared" ca="1" si="47"/>
        <v>Q4</v>
      </c>
      <c r="AK105" s="90" t="s">
        <v>430</v>
      </c>
      <c r="AL105" s="101"/>
      <c r="AM105" s="268"/>
      <c r="AN105" s="103"/>
      <c r="AO105" s="103"/>
      <c r="AP105" s="108">
        <v>150000</v>
      </c>
      <c r="AQ105" s="299"/>
      <c r="AR105" s="327"/>
      <c r="AS105" s="164"/>
      <c r="AT105" s="164"/>
      <c r="AU105" s="320">
        <f t="shared" si="48"/>
        <v>166307.68124999997</v>
      </c>
      <c r="AV105" s="324"/>
      <c r="AW105" s="89"/>
    </row>
    <row r="106" spans="1:49" ht="36" customHeight="1">
      <c r="A106" s="5"/>
      <c r="B106" s="229">
        <v>102</v>
      </c>
      <c r="C106" s="14" t="s">
        <v>18</v>
      </c>
      <c r="D106" s="168" t="s">
        <v>7</v>
      </c>
      <c r="E106" s="12" t="s">
        <v>536</v>
      </c>
      <c r="F106" s="13" t="s">
        <v>674</v>
      </c>
      <c r="G106" s="102" t="s">
        <v>227</v>
      </c>
      <c r="H106" s="213">
        <v>7500000</v>
      </c>
      <c r="I106" s="50">
        <v>4</v>
      </c>
      <c r="J106" s="156">
        <v>0.1</v>
      </c>
      <c r="K106" s="50"/>
      <c r="L106" s="157"/>
      <c r="M106" s="158">
        <v>6.0000000000000036</v>
      </c>
      <c r="N106" s="159">
        <v>8</v>
      </c>
      <c r="O106" s="159">
        <v>2</v>
      </c>
      <c r="P106" s="159">
        <v>5</v>
      </c>
      <c r="Q106" s="159">
        <v>3</v>
      </c>
      <c r="R106" s="159">
        <v>8</v>
      </c>
      <c r="S106" s="159">
        <v>1</v>
      </c>
      <c r="T106" s="160">
        <v>9</v>
      </c>
      <c r="U106" s="245" t="e">
        <f t="shared" ca="1" si="30"/>
        <v>#DIV/0!</v>
      </c>
      <c r="V106" s="245">
        <f t="shared" ca="1" si="31"/>
        <v>0.1</v>
      </c>
      <c r="W106" s="241">
        <f t="shared" si="32"/>
        <v>0.94736842105263208</v>
      </c>
      <c r="X106" s="241">
        <f t="shared" si="33"/>
        <v>0.84210526315789469</v>
      </c>
      <c r="Y106" s="241">
        <f t="shared" si="34"/>
        <v>0.2807017543859649</v>
      </c>
      <c r="Z106" s="241">
        <f t="shared" si="35"/>
        <v>0.8771929824561403</v>
      </c>
      <c r="AA106" s="241">
        <f t="shared" si="36"/>
        <v>0.26315789473684209</v>
      </c>
      <c r="AB106" s="241">
        <f t="shared" si="37"/>
        <v>0.98245614035087714</v>
      </c>
      <c r="AC106" s="241">
        <f t="shared" si="38"/>
        <v>0.10526315789473684</v>
      </c>
      <c r="AD106" s="242">
        <f t="shared" si="39"/>
        <v>0.94736842105263153</v>
      </c>
      <c r="AE106" s="243">
        <f t="shared" si="40"/>
        <v>0.6</v>
      </c>
      <c r="AF106" s="243">
        <f t="shared" ca="1" si="41"/>
        <v>0.9</v>
      </c>
      <c r="AG106" s="202">
        <f t="shared" ca="1" si="42"/>
        <v>0.70000000000000007</v>
      </c>
      <c r="AH106" s="246">
        <f t="shared" si="43"/>
        <v>5.2456140350877201</v>
      </c>
      <c r="AI106" s="185">
        <f t="shared" ca="1" si="44"/>
        <v>36.719298245614041</v>
      </c>
      <c r="AJ106" s="179" t="str">
        <f t="shared" ca="1" si="47"/>
        <v>Q4</v>
      </c>
      <c r="AK106" s="86" t="s">
        <v>329</v>
      </c>
      <c r="AL106" s="192"/>
      <c r="AM106" s="103"/>
      <c r="AN106" s="103"/>
      <c r="AO106" s="103"/>
      <c r="AP106" s="108"/>
      <c r="AQ106" s="299">
        <v>500000</v>
      </c>
      <c r="AR106" s="327"/>
      <c r="AS106" s="164"/>
      <c r="AT106" s="164"/>
      <c r="AU106" s="320"/>
      <c r="AV106" s="326">
        <f>AQ106*(1+Efactor)^4</f>
        <v>573761.50031249982</v>
      </c>
      <c r="AW106" s="89"/>
    </row>
    <row r="107" spans="1:49" ht="36" customHeight="1">
      <c r="A107" s="5">
        <v>221</v>
      </c>
      <c r="B107" s="229">
        <v>103</v>
      </c>
      <c r="C107" s="6" t="s">
        <v>17</v>
      </c>
      <c r="D107" s="133" t="s">
        <v>385</v>
      </c>
      <c r="E107" s="10" t="s">
        <v>757</v>
      </c>
      <c r="F107" s="17" t="s">
        <v>758</v>
      </c>
      <c r="G107" s="117" t="s">
        <v>170</v>
      </c>
      <c r="H107" s="215">
        <v>300000</v>
      </c>
      <c r="I107" s="51">
        <v>3</v>
      </c>
      <c r="J107" s="56">
        <v>0.2</v>
      </c>
      <c r="K107" s="50"/>
      <c r="L107" s="57"/>
      <c r="M107" s="62">
        <v>6.0000000000000036</v>
      </c>
      <c r="N107" s="63">
        <v>8</v>
      </c>
      <c r="O107" s="63">
        <v>5</v>
      </c>
      <c r="P107" s="63">
        <v>4</v>
      </c>
      <c r="Q107" s="63">
        <v>4.0000000000000027</v>
      </c>
      <c r="R107" s="63">
        <v>5</v>
      </c>
      <c r="S107" s="63">
        <v>0</v>
      </c>
      <c r="T107" s="64">
        <v>8</v>
      </c>
      <c r="U107" s="67" t="e">
        <f t="shared" ca="1" si="30"/>
        <v>#DIV/0!</v>
      </c>
      <c r="V107" s="67">
        <f t="shared" ca="1" si="31"/>
        <v>0.2</v>
      </c>
      <c r="W107" s="69">
        <f t="shared" si="32"/>
        <v>0.94736842105263208</v>
      </c>
      <c r="X107" s="69">
        <f t="shared" si="33"/>
        <v>0.84210526315789469</v>
      </c>
      <c r="Y107" s="69">
        <f t="shared" si="34"/>
        <v>0.70175438596491224</v>
      </c>
      <c r="Z107" s="69">
        <f t="shared" si="35"/>
        <v>0.70175438596491224</v>
      </c>
      <c r="AA107" s="69">
        <f t="shared" si="36"/>
        <v>0.3508771929824564</v>
      </c>
      <c r="AB107" s="69">
        <f t="shared" si="37"/>
        <v>0.61403508771929827</v>
      </c>
      <c r="AC107" s="69">
        <f t="shared" si="38"/>
        <v>0</v>
      </c>
      <c r="AD107" s="70">
        <f t="shared" si="39"/>
        <v>0.84210526315789469</v>
      </c>
      <c r="AE107" s="71">
        <f t="shared" si="40"/>
        <v>0.7</v>
      </c>
      <c r="AF107" s="71">
        <f t="shared" ca="1" si="41"/>
        <v>0.8</v>
      </c>
      <c r="AG107" s="72">
        <f t="shared" ca="1" si="42"/>
        <v>0.73333333333333339</v>
      </c>
      <c r="AH107" s="177">
        <f t="shared" si="43"/>
        <v>5.0000000000000009</v>
      </c>
      <c r="AI107" s="185">
        <f t="shared" ca="1" si="44"/>
        <v>36.666666666666671</v>
      </c>
      <c r="AJ107" s="179" t="str">
        <f t="shared" ca="1" si="47"/>
        <v>Q4</v>
      </c>
      <c r="AK107" s="90" t="s">
        <v>342</v>
      </c>
      <c r="AL107" s="101"/>
      <c r="AM107" s="269"/>
      <c r="AN107" s="103"/>
      <c r="AO107" s="103"/>
      <c r="AP107" s="108">
        <v>300000</v>
      </c>
      <c r="AQ107" s="299"/>
      <c r="AR107" s="327"/>
      <c r="AS107" s="164"/>
      <c r="AT107" s="164"/>
      <c r="AU107" s="320">
        <f>AP107*(1+Efactor)^3</f>
        <v>332615.36249999993</v>
      </c>
      <c r="AV107" s="326"/>
      <c r="AW107" s="89"/>
    </row>
    <row r="108" spans="1:49" ht="36" customHeight="1">
      <c r="A108" s="5"/>
      <c r="B108" s="229">
        <v>104</v>
      </c>
      <c r="C108" s="6" t="s">
        <v>42</v>
      </c>
      <c r="D108" s="133" t="s">
        <v>7</v>
      </c>
      <c r="E108" s="18" t="s">
        <v>599</v>
      </c>
      <c r="F108" s="20" t="s">
        <v>600</v>
      </c>
      <c r="G108" s="20" t="s">
        <v>601</v>
      </c>
      <c r="H108" s="215">
        <v>200000</v>
      </c>
      <c r="I108" s="51">
        <v>3</v>
      </c>
      <c r="J108" s="56">
        <v>0.1</v>
      </c>
      <c r="K108" s="50"/>
      <c r="L108" s="57"/>
      <c r="M108" s="62">
        <v>6.0000000000000036</v>
      </c>
      <c r="N108" s="63">
        <v>4.0000000000000027</v>
      </c>
      <c r="O108" s="63">
        <v>4</v>
      </c>
      <c r="P108" s="63">
        <v>4.0000000000000027</v>
      </c>
      <c r="Q108" s="63">
        <v>4</v>
      </c>
      <c r="R108" s="63">
        <v>6.0000000000000036</v>
      </c>
      <c r="S108" s="63">
        <v>4</v>
      </c>
      <c r="T108" s="64">
        <v>6.0000000000000036</v>
      </c>
      <c r="U108" s="67" t="e">
        <f t="shared" ca="1" si="30"/>
        <v>#DIV/0!</v>
      </c>
      <c r="V108" s="67">
        <f t="shared" ca="1" si="31"/>
        <v>0.1</v>
      </c>
      <c r="W108" s="69">
        <f t="shared" si="32"/>
        <v>0.94736842105263208</v>
      </c>
      <c r="X108" s="69">
        <f t="shared" si="33"/>
        <v>0.42105263157894762</v>
      </c>
      <c r="Y108" s="69">
        <f t="shared" si="34"/>
        <v>0.56140350877192979</v>
      </c>
      <c r="Z108" s="69">
        <f t="shared" si="35"/>
        <v>0.7017543859649128</v>
      </c>
      <c r="AA108" s="69">
        <f t="shared" si="36"/>
        <v>0.35087719298245612</v>
      </c>
      <c r="AB108" s="69">
        <f t="shared" si="37"/>
        <v>0.73684210526315841</v>
      </c>
      <c r="AC108" s="69">
        <f t="shared" si="38"/>
        <v>0.42105263157894735</v>
      </c>
      <c r="AD108" s="70">
        <f t="shared" si="39"/>
        <v>0.63157894736842146</v>
      </c>
      <c r="AE108" s="71">
        <f t="shared" si="40"/>
        <v>0.7</v>
      </c>
      <c r="AF108" s="71">
        <f t="shared" ca="1" si="41"/>
        <v>0.9</v>
      </c>
      <c r="AG108" s="72">
        <f t="shared" ca="1" si="42"/>
        <v>0.76666666666666661</v>
      </c>
      <c r="AH108" s="177">
        <f t="shared" si="43"/>
        <v>4.7719298245614059</v>
      </c>
      <c r="AI108" s="185">
        <f t="shared" ca="1" si="44"/>
        <v>36.584795321637444</v>
      </c>
      <c r="AJ108" s="179" t="str">
        <f t="shared" ca="1" si="47"/>
        <v>Q2</v>
      </c>
      <c r="AK108" s="90" t="s">
        <v>338</v>
      </c>
      <c r="AL108" s="101"/>
      <c r="AM108" s="269"/>
      <c r="AN108" s="107"/>
      <c r="AO108" s="103"/>
      <c r="AP108" s="103" t="s">
        <v>416</v>
      </c>
      <c r="AQ108" s="299">
        <v>200000</v>
      </c>
      <c r="AR108" s="165"/>
      <c r="AS108" s="164"/>
      <c r="AT108" s="164"/>
      <c r="AU108" s="320"/>
      <c r="AV108" s="326">
        <f>AQ108*(1+Efactor)^4</f>
        <v>229504.60012499994</v>
      </c>
      <c r="AW108" s="89"/>
    </row>
    <row r="109" spans="1:49" ht="36" customHeight="1">
      <c r="A109" s="5">
        <v>117</v>
      </c>
      <c r="B109" s="229">
        <v>105</v>
      </c>
      <c r="C109" s="6" t="s">
        <v>26</v>
      </c>
      <c r="D109" s="133" t="s">
        <v>7</v>
      </c>
      <c r="E109" s="18" t="s">
        <v>27</v>
      </c>
      <c r="F109" s="20" t="s">
        <v>471</v>
      </c>
      <c r="G109" s="20"/>
      <c r="H109" s="215">
        <v>250000</v>
      </c>
      <c r="I109" s="51">
        <v>4</v>
      </c>
      <c r="J109" s="56">
        <v>0.3</v>
      </c>
      <c r="K109" s="50"/>
      <c r="L109" s="57"/>
      <c r="M109" s="62">
        <v>6</v>
      </c>
      <c r="N109" s="63">
        <v>8</v>
      </c>
      <c r="O109" s="63">
        <v>3</v>
      </c>
      <c r="P109" s="63">
        <v>9.9999999999999982</v>
      </c>
      <c r="Q109" s="63">
        <v>0</v>
      </c>
      <c r="R109" s="63">
        <v>6.0000000000000036</v>
      </c>
      <c r="S109" s="63">
        <v>4</v>
      </c>
      <c r="T109" s="64">
        <v>6.0000000000000036</v>
      </c>
      <c r="U109" s="67" t="e">
        <f t="shared" ca="1" si="30"/>
        <v>#DIV/0!</v>
      </c>
      <c r="V109" s="67">
        <f t="shared" ca="1" si="31"/>
        <v>0.3</v>
      </c>
      <c r="W109" s="69">
        <f t="shared" si="32"/>
        <v>0.94736842105263153</v>
      </c>
      <c r="X109" s="69">
        <f t="shared" si="33"/>
        <v>0.84210526315789469</v>
      </c>
      <c r="Y109" s="69">
        <f t="shared" si="34"/>
        <v>0.42105263157894735</v>
      </c>
      <c r="Z109" s="69">
        <f t="shared" si="35"/>
        <v>1.7543859649122804</v>
      </c>
      <c r="AA109" s="69">
        <f t="shared" si="36"/>
        <v>0</v>
      </c>
      <c r="AB109" s="69">
        <f t="shared" si="37"/>
        <v>0.73684210526315841</v>
      </c>
      <c r="AC109" s="69">
        <f t="shared" si="38"/>
        <v>0.42105263157894735</v>
      </c>
      <c r="AD109" s="70">
        <f t="shared" si="39"/>
        <v>0.63157894736842146</v>
      </c>
      <c r="AE109" s="71">
        <f t="shared" si="40"/>
        <v>0.6</v>
      </c>
      <c r="AF109" s="71">
        <f t="shared" ca="1" si="41"/>
        <v>0.7</v>
      </c>
      <c r="AG109" s="72">
        <f t="shared" ca="1" si="42"/>
        <v>0.6333333333333333</v>
      </c>
      <c r="AH109" s="177">
        <f t="shared" si="43"/>
        <v>5.7543859649122808</v>
      </c>
      <c r="AI109" s="185">
        <f t="shared" ca="1" si="44"/>
        <v>36.444444444444443</v>
      </c>
      <c r="AJ109" s="179" t="str">
        <f t="shared" ca="1" si="47"/>
        <v>Q4</v>
      </c>
      <c r="AK109" s="90" t="s">
        <v>329</v>
      </c>
      <c r="AL109" s="195"/>
      <c r="AM109" s="103"/>
      <c r="AN109" s="103"/>
      <c r="AO109" s="103"/>
      <c r="AP109" s="108"/>
      <c r="AQ109" s="299">
        <v>250000</v>
      </c>
      <c r="AR109" s="164"/>
      <c r="AS109" s="164"/>
      <c r="AT109" s="164"/>
      <c r="AU109" s="320"/>
      <c r="AV109" s="326">
        <f>AQ109*(1+Efactor)^4</f>
        <v>286880.75015624991</v>
      </c>
      <c r="AW109" s="89"/>
    </row>
    <row r="110" spans="1:49" ht="36" customHeight="1">
      <c r="A110" s="5">
        <v>29</v>
      </c>
      <c r="B110" s="229">
        <v>106</v>
      </c>
      <c r="C110" s="14" t="s">
        <v>8</v>
      </c>
      <c r="D110" s="168" t="s">
        <v>7</v>
      </c>
      <c r="E110" s="7" t="s">
        <v>436</v>
      </c>
      <c r="F110" s="4" t="s">
        <v>653</v>
      </c>
      <c r="G110" s="8"/>
      <c r="H110" s="213">
        <v>1215000</v>
      </c>
      <c r="I110" s="50">
        <v>4</v>
      </c>
      <c r="J110" s="156">
        <v>0.4</v>
      </c>
      <c r="K110" s="50"/>
      <c r="L110" s="157"/>
      <c r="M110" s="158">
        <v>8</v>
      </c>
      <c r="N110" s="159">
        <v>7</v>
      </c>
      <c r="O110" s="159">
        <v>5</v>
      </c>
      <c r="P110" s="159">
        <v>8</v>
      </c>
      <c r="Q110" s="159">
        <v>7</v>
      </c>
      <c r="R110" s="159">
        <v>4</v>
      </c>
      <c r="S110" s="159">
        <v>0</v>
      </c>
      <c r="T110" s="160">
        <v>8</v>
      </c>
      <c r="U110" s="245" t="e">
        <f t="shared" ca="1" si="30"/>
        <v>#DIV/0!</v>
      </c>
      <c r="V110" s="245">
        <f t="shared" ca="1" si="31"/>
        <v>0.4</v>
      </c>
      <c r="W110" s="241">
        <f t="shared" si="32"/>
        <v>1.263157894736842</v>
      </c>
      <c r="X110" s="241">
        <f t="shared" si="33"/>
        <v>0.73684210526315785</v>
      </c>
      <c r="Y110" s="241">
        <f t="shared" si="34"/>
        <v>0.70175438596491224</v>
      </c>
      <c r="Z110" s="241">
        <f t="shared" si="35"/>
        <v>1.4035087719298245</v>
      </c>
      <c r="AA110" s="241">
        <f t="shared" si="36"/>
        <v>0.61403508771929827</v>
      </c>
      <c r="AB110" s="241">
        <f t="shared" si="37"/>
        <v>0.49122807017543857</v>
      </c>
      <c r="AC110" s="241">
        <f t="shared" si="38"/>
        <v>0</v>
      </c>
      <c r="AD110" s="242">
        <f t="shared" si="39"/>
        <v>0.84210526315789469</v>
      </c>
      <c r="AE110" s="243">
        <f t="shared" si="40"/>
        <v>0.6</v>
      </c>
      <c r="AF110" s="243">
        <f t="shared" ca="1" si="41"/>
        <v>0.6</v>
      </c>
      <c r="AG110" s="202">
        <f t="shared" ca="1" si="42"/>
        <v>0.6</v>
      </c>
      <c r="AH110" s="246">
        <f t="shared" si="43"/>
        <v>6.0526315789473673</v>
      </c>
      <c r="AI110" s="185">
        <f t="shared" ca="1" si="44"/>
        <v>36.315789473684205</v>
      </c>
      <c r="AJ110" s="179" t="str">
        <f t="shared" ca="1" si="47"/>
        <v>Q3</v>
      </c>
      <c r="AK110" s="88" t="s">
        <v>329</v>
      </c>
      <c r="AL110" s="193"/>
      <c r="AM110" s="103"/>
      <c r="AN110" s="103"/>
      <c r="AO110" s="103"/>
      <c r="AP110" s="108"/>
      <c r="AQ110" s="299">
        <v>1215000</v>
      </c>
      <c r="AR110" s="327"/>
      <c r="AS110" s="164"/>
      <c r="AT110" s="164"/>
      <c r="AU110" s="320"/>
      <c r="AV110" s="326">
        <f>AQ110*(1+Efactor)^4</f>
        <v>1394240.4457593746</v>
      </c>
      <c r="AW110" s="89"/>
    </row>
    <row r="111" spans="1:49" ht="36" customHeight="1">
      <c r="A111" s="153">
        <v>176</v>
      </c>
      <c r="B111" s="229">
        <v>107</v>
      </c>
      <c r="C111" s="14" t="s">
        <v>8</v>
      </c>
      <c r="D111" s="168" t="s">
        <v>7</v>
      </c>
      <c r="E111" s="7" t="s">
        <v>404</v>
      </c>
      <c r="F111" s="226" t="s">
        <v>428</v>
      </c>
      <c r="G111" s="106"/>
      <c r="H111" s="213">
        <v>225000</v>
      </c>
      <c r="I111" s="51">
        <v>3</v>
      </c>
      <c r="J111" s="56">
        <v>0.1</v>
      </c>
      <c r="K111" s="50"/>
      <c r="L111" s="57"/>
      <c r="M111" s="62">
        <v>8</v>
      </c>
      <c r="N111" s="63">
        <v>6</v>
      </c>
      <c r="O111" s="63">
        <v>2</v>
      </c>
      <c r="P111" s="63">
        <v>5</v>
      </c>
      <c r="Q111" s="63">
        <v>2</v>
      </c>
      <c r="R111" s="63">
        <v>2</v>
      </c>
      <c r="S111" s="63">
        <v>4</v>
      </c>
      <c r="T111" s="64">
        <v>8</v>
      </c>
      <c r="U111" s="67" t="e">
        <f t="shared" ca="1" si="30"/>
        <v>#DIV/0!</v>
      </c>
      <c r="V111" s="67">
        <f t="shared" ca="1" si="31"/>
        <v>0.1</v>
      </c>
      <c r="W111" s="69">
        <f t="shared" si="32"/>
        <v>1.263157894736842</v>
      </c>
      <c r="X111" s="69">
        <f t="shared" si="33"/>
        <v>0.63157894736842102</v>
      </c>
      <c r="Y111" s="69">
        <f t="shared" si="34"/>
        <v>0.2807017543859649</v>
      </c>
      <c r="Z111" s="69">
        <f t="shared" si="35"/>
        <v>0.8771929824561403</v>
      </c>
      <c r="AA111" s="69">
        <f t="shared" si="36"/>
        <v>0.17543859649122806</v>
      </c>
      <c r="AB111" s="69">
        <f t="shared" si="37"/>
        <v>0.24561403508771928</v>
      </c>
      <c r="AC111" s="69">
        <f t="shared" si="38"/>
        <v>0.42105263157894735</v>
      </c>
      <c r="AD111" s="70">
        <f t="shared" si="39"/>
        <v>0.84210526315789469</v>
      </c>
      <c r="AE111" s="71">
        <f t="shared" si="40"/>
        <v>0.7</v>
      </c>
      <c r="AF111" s="71">
        <f t="shared" ca="1" si="41"/>
        <v>0.9</v>
      </c>
      <c r="AG111" s="72">
        <f t="shared" ca="1" si="42"/>
        <v>0.76666666666666661</v>
      </c>
      <c r="AH111" s="177">
        <f t="shared" si="43"/>
        <v>4.7368421052631575</v>
      </c>
      <c r="AI111" s="185">
        <f t="shared" ca="1" si="44"/>
        <v>36.315789473684205</v>
      </c>
      <c r="AJ111" s="179" t="str">
        <f t="shared" ca="1" si="47"/>
        <v>Q2</v>
      </c>
      <c r="AK111" s="90" t="s">
        <v>329</v>
      </c>
      <c r="AL111" s="101"/>
      <c r="AM111" s="268"/>
      <c r="AN111" s="103" t="s">
        <v>416</v>
      </c>
      <c r="AO111" s="103"/>
      <c r="AP111" s="103" t="s">
        <v>416</v>
      </c>
      <c r="AQ111" s="299">
        <v>225000</v>
      </c>
      <c r="AR111" s="327"/>
      <c r="AS111" s="164"/>
      <c r="AT111" s="164"/>
      <c r="AU111" s="320"/>
      <c r="AV111" s="326">
        <f>AQ111*(1+Efactor)^4</f>
        <v>258192.67514062492</v>
      </c>
      <c r="AW111" s="89"/>
    </row>
    <row r="112" spans="1:49" ht="36" customHeight="1">
      <c r="A112" s="153"/>
      <c r="B112" s="229">
        <v>108</v>
      </c>
      <c r="C112" s="14" t="s">
        <v>6</v>
      </c>
      <c r="D112" s="168" t="s">
        <v>7</v>
      </c>
      <c r="E112" s="7" t="s">
        <v>104</v>
      </c>
      <c r="F112" s="8" t="s">
        <v>612</v>
      </c>
      <c r="G112" s="8"/>
      <c r="H112" s="213">
        <v>2000000</v>
      </c>
      <c r="I112" s="50">
        <v>4</v>
      </c>
      <c r="J112" s="56">
        <v>0.1</v>
      </c>
      <c r="K112" s="50"/>
      <c r="L112" s="57"/>
      <c r="M112" s="62">
        <v>6.0000000000000036</v>
      </c>
      <c r="N112" s="63">
        <v>6.0000000000000036</v>
      </c>
      <c r="O112" s="63">
        <v>4</v>
      </c>
      <c r="P112" s="63">
        <v>6.0000000000000036</v>
      </c>
      <c r="Q112" s="63">
        <v>1</v>
      </c>
      <c r="R112" s="63">
        <v>6.0000000000000036</v>
      </c>
      <c r="S112" s="63">
        <v>5</v>
      </c>
      <c r="T112" s="64">
        <v>6.0000000000000036</v>
      </c>
      <c r="U112" s="67" t="e">
        <f t="shared" ca="1" si="30"/>
        <v>#DIV/0!</v>
      </c>
      <c r="V112" s="67">
        <f t="shared" ca="1" si="31"/>
        <v>0.1</v>
      </c>
      <c r="W112" s="69">
        <f t="shared" si="32"/>
        <v>0.94736842105263208</v>
      </c>
      <c r="X112" s="69">
        <f t="shared" si="33"/>
        <v>0.63157894736842146</v>
      </c>
      <c r="Y112" s="69">
        <f t="shared" si="34"/>
        <v>0.56140350877192979</v>
      </c>
      <c r="Z112" s="69">
        <f t="shared" si="35"/>
        <v>1.052631578947369</v>
      </c>
      <c r="AA112" s="69">
        <f t="shared" si="36"/>
        <v>8.771929824561403E-2</v>
      </c>
      <c r="AB112" s="69">
        <f t="shared" si="37"/>
        <v>0.73684210526315841</v>
      </c>
      <c r="AC112" s="69">
        <f t="shared" si="38"/>
        <v>0.52631578947368418</v>
      </c>
      <c r="AD112" s="70">
        <f t="shared" si="39"/>
        <v>0.63157894736842146</v>
      </c>
      <c r="AE112" s="71">
        <f t="shared" si="40"/>
        <v>0.6</v>
      </c>
      <c r="AF112" s="71">
        <f t="shared" ca="1" si="41"/>
        <v>0.9</v>
      </c>
      <c r="AG112" s="72">
        <f t="shared" ca="1" si="42"/>
        <v>0.70000000000000007</v>
      </c>
      <c r="AH112" s="177">
        <f t="shared" si="43"/>
        <v>5.1754385964912304</v>
      </c>
      <c r="AI112" s="185">
        <f t="shared" ca="1" si="44"/>
        <v>36.228070175438617</v>
      </c>
      <c r="AJ112" s="179" t="str">
        <f t="shared" ca="1" si="47"/>
        <v>Q4</v>
      </c>
      <c r="AK112" s="88" t="s">
        <v>329</v>
      </c>
      <c r="AL112" s="192"/>
      <c r="AM112" s="103"/>
      <c r="AN112" s="103"/>
      <c r="AO112" s="103"/>
      <c r="AP112" s="108" t="s">
        <v>416</v>
      </c>
      <c r="AQ112" s="299" t="s">
        <v>416</v>
      </c>
      <c r="AR112" s="327" t="s">
        <v>416</v>
      </c>
      <c r="AS112" s="164"/>
      <c r="AT112" s="164"/>
      <c r="AU112" s="320"/>
      <c r="AV112" s="324"/>
      <c r="AW112" s="89"/>
    </row>
    <row r="113" spans="1:49" ht="36" customHeight="1">
      <c r="A113" s="153"/>
      <c r="B113" s="229">
        <v>109</v>
      </c>
      <c r="C113" s="14" t="s">
        <v>17</v>
      </c>
      <c r="D113" s="168" t="s">
        <v>19</v>
      </c>
      <c r="E113" s="26" t="s">
        <v>501</v>
      </c>
      <c r="F113" s="27" t="s">
        <v>505</v>
      </c>
      <c r="G113" s="106"/>
      <c r="H113" s="213">
        <v>4500000</v>
      </c>
      <c r="I113" s="50">
        <v>4</v>
      </c>
      <c r="J113" s="156">
        <v>0.5</v>
      </c>
      <c r="K113" s="50"/>
      <c r="L113" s="157"/>
      <c r="M113" s="158">
        <v>8</v>
      </c>
      <c r="N113" s="159">
        <v>8</v>
      </c>
      <c r="O113" s="159">
        <v>8</v>
      </c>
      <c r="P113" s="159">
        <v>8</v>
      </c>
      <c r="Q113" s="159">
        <v>6</v>
      </c>
      <c r="R113" s="159">
        <v>8</v>
      </c>
      <c r="S113" s="159">
        <v>0</v>
      </c>
      <c r="T113" s="160">
        <v>9</v>
      </c>
      <c r="U113" s="245" t="e">
        <f t="shared" ref="U113" ca="1" si="49">(L113-(YEAR(TODAY())-K113))/L113</f>
        <v>#DIV/0!</v>
      </c>
      <c r="V113" s="245">
        <f t="shared" ref="V113" ca="1" si="50">IFERROR(U113,J113)</f>
        <v>0.5</v>
      </c>
      <c r="W113" s="241">
        <f t="shared" ref="W113" si="51">M113*Weight1/(WSum)</f>
        <v>1.263157894736842</v>
      </c>
      <c r="X113" s="241">
        <f t="shared" ref="X113" si="52">N113*Weight2/(WSum)</f>
        <v>0.84210526315789469</v>
      </c>
      <c r="Y113" s="241">
        <f t="shared" ref="Y113" si="53">O113*Weight3/(WSum)</f>
        <v>1.1228070175438596</v>
      </c>
      <c r="Z113" s="241">
        <f t="shared" ref="Z113" si="54">P113*Weight4/(WSum)</f>
        <v>1.4035087719298245</v>
      </c>
      <c r="AA113" s="241">
        <f t="shared" ref="AA113" si="55">Q113*Weight5/(WSum)</f>
        <v>0.52631578947368418</v>
      </c>
      <c r="AB113" s="241">
        <f t="shared" ref="AB113" si="56">R113*Weight6/(WSum)</f>
        <v>0.98245614035087714</v>
      </c>
      <c r="AC113" s="241">
        <f t="shared" ref="AC113" si="57">S113*Weight7/(WSum)</f>
        <v>0</v>
      </c>
      <c r="AD113" s="242">
        <f t="shared" ref="AD113" si="58">T113*Weight8/(WSum)</f>
        <v>0.94736842105263153</v>
      </c>
      <c r="AE113" s="243">
        <f t="shared" ref="AE113" si="59">-1/10*I113+1</f>
        <v>0.6</v>
      </c>
      <c r="AF113" s="243">
        <f t="shared" ref="AF113" ca="1" si="60">IF(V113&lt;0,0,-V113+1)</f>
        <v>0.5</v>
      </c>
      <c r="AG113" s="202">
        <f t="shared" ref="AG113" ca="1" si="61">(AE113*CondWeight+AF113*PLifeWeight)/(CondWeight+PLifeWeight)</f>
        <v>0.56666666666666665</v>
      </c>
      <c r="AH113" s="246">
        <f t="shared" ref="AH113" si="62">SUM(W113:AD113)</f>
        <v>7.0877192982456148</v>
      </c>
      <c r="AI113" s="185">
        <v>36.200000000000003</v>
      </c>
      <c r="AJ113" s="179" t="str">
        <f t="shared" ca="1" si="47"/>
        <v>Q3</v>
      </c>
      <c r="AK113" s="88" t="s">
        <v>342</v>
      </c>
      <c r="AL113" s="193"/>
      <c r="AM113" s="268"/>
      <c r="AN113" s="103"/>
      <c r="AO113" s="103"/>
      <c r="AP113" s="103">
        <v>600000</v>
      </c>
      <c r="AQ113" s="199">
        <v>3900000</v>
      </c>
      <c r="AR113" s="327"/>
      <c r="AS113" s="164"/>
      <c r="AT113" s="164"/>
      <c r="AU113" s="164">
        <f>AP113*(1+Efactor)^2</f>
        <v>642734.99999999988</v>
      </c>
      <c r="AV113" s="320">
        <f>AQ113*(1+Efactor)^3</f>
        <v>4323999.7124999994</v>
      </c>
      <c r="AW113" s="89"/>
    </row>
    <row r="114" spans="1:49" ht="36" customHeight="1">
      <c r="A114" s="153">
        <v>156</v>
      </c>
      <c r="B114" s="229">
        <v>110</v>
      </c>
      <c r="C114" s="14" t="s">
        <v>6</v>
      </c>
      <c r="D114" s="168" t="s">
        <v>7</v>
      </c>
      <c r="E114" s="7" t="s">
        <v>96</v>
      </c>
      <c r="F114" s="8" t="s">
        <v>423</v>
      </c>
      <c r="G114" s="8"/>
      <c r="H114" s="213">
        <v>1480000</v>
      </c>
      <c r="I114" s="50">
        <v>3</v>
      </c>
      <c r="J114" s="56">
        <v>0.3</v>
      </c>
      <c r="K114" s="50"/>
      <c r="L114" s="57"/>
      <c r="M114" s="62">
        <v>5</v>
      </c>
      <c r="N114" s="63">
        <v>7</v>
      </c>
      <c r="O114" s="63">
        <v>3</v>
      </c>
      <c r="P114" s="63">
        <v>8</v>
      </c>
      <c r="Q114" s="63">
        <v>0</v>
      </c>
      <c r="R114" s="63">
        <v>8</v>
      </c>
      <c r="S114" s="63">
        <v>0</v>
      </c>
      <c r="T114" s="64">
        <v>8</v>
      </c>
      <c r="U114" s="67" t="e">
        <f t="shared" ca="1" si="30"/>
        <v>#DIV/0!</v>
      </c>
      <c r="V114" s="67">
        <f t="shared" ca="1" si="31"/>
        <v>0.3</v>
      </c>
      <c r="W114" s="69">
        <f t="shared" si="32"/>
        <v>0.78947368421052633</v>
      </c>
      <c r="X114" s="69">
        <f t="shared" si="33"/>
        <v>0.73684210526315785</v>
      </c>
      <c r="Y114" s="69">
        <f t="shared" si="34"/>
        <v>0.42105263157894735</v>
      </c>
      <c r="Z114" s="69">
        <f t="shared" si="35"/>
        <v>1.4035087719298245</v>
      </c>
      <c r="AA114" s="69">
        <f t="shared" si="36"/>
        <v>0</v>
      </c>
      <c r="AB114" s="69">
        <f t="shared" si="37"/>
        <v>0.98245614035087714</v>
      </c>
      <c r="AC114" s="69">
        <f t="shared" si="38"/>
        <v>0</v>
      </c>
      <c r="AD114" s="70">
        <f t="shared" si="39"/>
        <v>0.84210526315789469</v>
      </c>
      <c r="AE114" s="71">
        <f t="shared" si="40"/>
        <v>0.7</v>
      </c>
      <c r="AF114" s="71">
        <f t="shared" ca="1" si="41"/>
        <v>0.7</v>
      </c>
      <c r="AG114" s="72">
        <f t="shared" ca="1" si="42"/>
        <v>0.69999999999999984</v>
      </c>
      <c r="AH114" s="177">
        <f t="shared" si="43"/>
        <v>5.1754385964912277</v>
      </c>
      <c r="AI114" s="185">
        <f t="shared" ca="1" si="44"/>
        <v>36.228070175438589</v>
      </c>
      <c r="AJ114" s="179" t="str">
        <f t="shared" ca="1" si="47"/>
        <v>Q4</v>
      </c>
      <c r="AK114" s="88" t="s">
        <v>329</v>
      </c>
      <c r="AL114" s="193"/>
      <c r="AM114" s="103"/>
      <c r="AN114" s="103"/>
      <c r="AO114" s="103"/>
      <c r="AP114" s="103"/>
      <c r="AQ114" s="108"/>
      <c r="AR114" s="327"/>
      <c r="AS114" s="164" t="s">
        <v>416</v>
      </c>
      <c r="AT114" s="164"/>
      <c r="AU114" s="320"/>
      <c r="AV114" s="324"/>
      <c r="AW114" s="89"/>
    </row>
    <row r="115" spans="1:49" ht="36" customHeight="1">
      <c r="A115" s="153">
        <v>147</v>
      </c>
      <c r="B115" s="229">
        <v>111</v>
      </c>
      <c r="C115" s="6" t="s">
        <v>12</v>
      </c>
      <c r="D115" s="133" t="s">
        <v>7</v>
      </c>
      <c r="E115" s="18" t="s">
        <v>160</v>
      </c>
      <c r="F115" s="20" t="s">
        <v>459</v>
      </c>
      <c r="G115" s="20" t="s">
        <v>161</v>
      </c>
      <c r="H115" s="317">
        <v>140000</v>
      </c>
      <c r="I115" s="51">
        <v>3</v>
      </c>
      <c r="J115" s="56">
        <v>0.2</v>
      </c>
      <c r="K115" s="50"/>
      <c r="L115" s="57"/>
      <c r="M115" s="62">
        <v>6</v>
      </c>
      <c r="N115" s="63">
        <v>1</v>
      </c>
      <c r="O115" s="63">
        <v>6.0000000000000036</v>
      </c>
      <c r="P115" s="63">
        <v>8.0000000000000053</v>
      </c>
      <c r="Q115" s="63">
        <v>4.0000000000000027</v>
      </c>
      <c r="R115" s="63">
        <v>1</v>
      </c>
      <c r="S115" s="63">
        <v>4</v>
      </c>
      <c r="T115" s="64">
        <v>7.0000000000000044</v>
      </c>
      <c r="U115" s="67" t="e">
        <f t="shared" ca="1" si="30"/>
        <v>#DIV/0!</v>
      </c>
      <c r="V115" s="67">
        <f t="shared" ca="1" si="31"/>
        <v>0.2</v>
      </c>
      <c r="W115" s="69">
        <f t="shared" si="32"/>
        <v>0.94736842105263153</v>
      </c>
      <c r="X115" s="69">
        <f t="shared" si="33"/>
        <v>0.10526315789473684</v>
      </c>
      <c r="Y115" s="69">
        <f t="shared" si="34"/>
        <v>0.84210526315789525</v>
      </c>
      <c r="Z115" s="69">
        <f t="shared" si="35"/>
        <v>1.4035087719298256</v>
      </c>
      <c r="AA115" s="69">
        <f t="shared" si="36"/>
        <v>0.3508771929824564</v>
      </c>
      <c r="AB115" s="69">
        <f t="shared" si="37"/>
        <v>0.12280701754385964</v>
      </c>
      <c r="AC115" s="69">
        <f t="shared" si="38"/>
        <v>0.42105263157894735</v>
      </c>
      <c r="AD115" s="70">
        <f t="shared" si="39"/>
        <v>0.73684210526315841</v>
      </c>
      <c r="AE115" s="71">
        <f t="shared" si="40"/>
        <v>0.7</v>
      </c>
      <c r="AF115" s="71">
        <f t="shared" ca="1" si="41"/>
        <v>0.8</v>
      </c>
      <c r="AG115" s="72">
        <f t="shared" ca="1" si="42"/>
        <v>0.73333333333333339</v>
      </c>
      <c r="AH115" s="177">
        <f t="shared" si="43"/>
        <v>4.9298245614035112</v>
      </c>
      <c r="AI115" s="185">
        <f t="shared" ca="1" si="44"/>
        <v>36.15204678362575</v>
      </c>
      <c r="AJ115" s="179" t="str">
        <f t="shared" ref="AJ115:AJ148" ca="1" si="63">IF(AG115&gt;$AG$2,IF(AH115&gt;$AH$2,"Q1","Q2"),IF(AH115&gt;$AH$2,"Q3","Q4"))</f>
        <v>Q4</v>
      </c>
      <c r="AK115" s="90" t="s">
        <v>329</v>
      </c>
      <c r="AL115" s="194"/>
      <c r="AM115" s="103"/>
      <c r="AN115" s="103"/>
      <c r="AO115" s="103"/>
      <c r="AP115" s="103"/>
      <c r="AQ115" s="299"/>
      <c r="AR115" s="327"/>
      <c r="AS115" s="164"/>
      <c r="AT115" s="164"/>
      <c r="AU115" s="164"/>
      <c r="AV115" s="324"/>
      <c r="AW115" s="89"/>
    </row>
    <row r="116" spans="1:49" ht="36" customHeight="1">
      <c r="A116" s="153"/>
      <c r="B116" s="229">
        <v>112</v>
      </c>
      <c r="C116" s="14" t="s">
        <v>14</v>
      </c>
      <c r="D116" s="168" t="s">
        <v>15</v>
      </c>
      <c r="E116" s="10" t="s">
        <v>434</v>
      </c>
      <c r="F116" s="23" t="s">
        <v>525</v>
      </c>
      <c r="G116" s="8"/>
      <c r="H116" s="228">
        <v>4074600</v>
      </c>
      <c r="I116" s="50">
        <v>4</v>
      </c>
      <c r="J116" s="156">
        <v>0.3</v>
      </c>
      <c r="K116" s="50"/>
      <c r="L116" s="157"/>
      <c r="M116" s="158">
        <v>6</v>
      </c>
      <c r="N116" s="159">
        <v>6</v>
      </c>
      <c r="O116" s="159">
        <v>5</v>
      </c>
      <c r="P116" s="159">
        <v>8</v>
      </c>
      <c r="Q116" s="159">
        <v>2</v>
      </c>
      <c r="R116" s="159">
        <v>8</v>
      </c>
      <c r="S116" s="159">
        <v>0</v>
      </c>
      <c r="T116" s="160">
        <v>10</v>
      </c>
      <c r="U116" s="245" t="e">
        <f t="shared" ref="U116" ca="1" si="64">(L116-(YEAR(TODAY())-K116))/L116</f>
        <v>#DIV/0!</v>
      </c>
      <c r="V116" s="245">
        <f t="shared" ref="V116" ca="1" si="65">IFERROR(U116,J116)</f>
        <v>0.3</v>
      </c>
      <c r="W116" s="241">
        <f t="shared" ref="W116" si="66">M116*Weight1/(WSum)</f>
        <v>0.94736842105263153</v>
      </c>
      <c r="X116" s="241">
        <f t="shared" ref="X116" si="67">N116*Weight2/(WSum)</f>
        <v>0.63157894736842102</v>
      </c>
      <c r="Y116" s="241">
        <f t="shared" ref="Y116" si="68">O116*Weight3/(WSum)</f>
        <v>0.70175438596491224</v>
      </c>
      <c r="Z116" s="241">
        <f t="shared" ref="Z116" si="69">P116*Weight4/(WSum)</f>
        <v>1.4035087719298245</v>
      </c>
      <c r="AA116" s="241">
        <f t="shared" ref="AA116" si="70">Q116*Weight5/(WSum)</f>
        <v>0.17543859649122806</v>
      </c>
      <c r="AB116" s="241">
        <f t="shared" ref="AB116" si="71">R116*Weight6/(WSum)</f>
        <v>0.98245614035087714</v>
      </c>
      <c r="AC116" s="241">
        <f t="shared" ref="AC116" si="72">S116*Weight7/(WSum)</f>
        <v>0</v>
      </c>
      <c r="AD116" s="242">
        <f t="shared" ref="AD116" si="73">T116*Weight8/(WSum)</f>
        <v>1.0526315789473684</v>
      </c>
      <c r="AE116" s="243">
        <f t="shared" ref="AE116" si="74">-1/10*I116+1</f>
        <v>0.6</v>
      </c>
      <c r="AF116" s="243">
        <f t="shared" ref="AF116" ca="1" si="75">IF(V116&lt;0,0,-V116+1)</f>
        <v>0.7</v>
      </c>
      <c r="AG116" s="202">
        <f t="shared" ref="AG116" ca="1" si="76">(AE116*CondWeight+AF116*PLifeWeight)/(CondWeight+PLifeWeight)</f>
        <v>0.6333333333333333</v>
      </c>
      <c r="AH116" s="246">
        <f t="shared" ref="AH116" si="77">SUM(W116:AD116)</f>
        <v>5.8947368421052628</v>
      </c>
      <c r="AI116" s="185">
        <v>36.200000000000003</v>
      </c>
      <c r="AJ116" s="179" t="str">
        <f t="shared" ca="1" si="63"/>
        <v>Q4</v>
      </c>
      <c r="AK116" s="88" t="s">
        <v>342</v>
      </c>
      <c r="AL116" s="100"/>
      <c r="AM116" s="269"/>
      <c r="AN116" s="103"/>
      <c r="AO116" s="103"/>
      <c r="AP116" s="103"/>
      <c r="AQ116" s="108">
        <v>4074600</v>
      </c>
      <c r="AR116" s="327"/>
      <c r="AS116" s="164"/>
      <c r="AT116" s="164"/>
      <c r="AU116" s="164"/>
      <c r="AV116" s="320">
        <f>AQ116*(1+Efactor)^3</f>
        <v>4517581.8534749988</v>
      </c>
      <c r="AW116" s="89"/>
    </row>
    <row r="117" spans="1:49" ht="36" customHeight="1">
      <c r="A117" s="5">
        <v>210</v>
      </c>
      <c r="B117" s="229">
        <v>113</v>
      </c>
      <c r="C117" s="6" t="s">
        <v>6</v>
      </c>
      <c r="D117" s="133" t="s">
        <v>7</v>
      </c>
      <c r="E117" s="7" t="s">
        <v>429</v>
      </c>
      <c r="F117" s="9" t="s">
        <v>513</v>
      </c>
      <c r="G117" s="8"/>
      <c r="H117" s="213">
        <v>180000</v>
      </c>
      <c r="I117" s="50">
        <v>3</v>
      </c>
      <c r="J117" s="56">
        <v>0.2</v>
      </c>
      <c r="K117" s="50"/>
      <c r="L117" s="57"/>
      <c r="M117" s="62">
        <v>5</v>
      </c>
      <c r="N117" s="63">
        <v>8</v>
      </c>
      <c r="O117" s="63">
        <v>3</v>
      </c>
      <c r="P117" s="63">
        <v>4</v>
      </c>
      <c r="Q117" s="63">
        <v>6</v>
      </c>
      <c r="R117" s="63">
        <v>4</v>
      </c>
      <c r="S117" s="63">
        <v>4</v>
      </c>
      <c r="T117" s="64">
        <v>7</v>
      </c>
      <c r="U117" s="67" t="e">
        <f t="shared" ca="1" si="30"/>
        <v>#DIV/0!</v>
      </c>
      <c r="V117" s="67">
        <f t="shared" ca="1" si="31"/>
        <v>0.2</v>
      </c>
      <c r="W117" s="69">
        <f t="shared" si="32"/>
        <v>0.78947368421052633</v>
      </c>
      <c r="X117" s="69">
        <f t="shared" si="33"/>
        <v>0.84210526315789469</v>
      </c>
      <c r="Y117" s="69">
        <f t="shared" si="34"/>
        <v>0.42105263157894735</v>
      </c>
      <c r="Z117" s="69">
        <f t="shared" si="35"/>
        <v>0.70175438596491224</v>
      </c>
      <c r="AA117" s="69">
        <f t="shared" si="36"/>
        <v>0.52631578947368418</v>
      </c>
      <c r="AB117" s="69">
        <f t="shared" si="37"/>
        <v>0.49122807017543857</v>
      </c>
      <c r="AC117" s="69">
        <f t="shared" si="38"/>
        <v>0.42105263157894735</v>
      </c>
      <c r="AD117" s="70">
        <f t="shared" si="39"/>
        <v>0.73684210526315785</v>
      </c>
      <c r="AE117" s="71">
        <f t="shared" si="40"/>
        <v>0.7</v>
      </c>
      <c r="AF117" s="71">
        <f t="shared" ca="1" si="41"/>
        <v>0.8</v>
      </c>
      <c r="AG117" s="72">
        <f t="shared" ca="1" si="42"/>
        <v>0.73333333333333339</v>
      </c>
      <c r="AH117" s="177">
        <f t="shared" si="43"/>
        <v>4.9298245614035086</v>
      </c>
      <c r="AI117" s="185">
        <f t="shared" ca="1" si="44"/>
        <v>36.152046783625728</v>
      </c>
      <c r="AJ117" s="179" t="str">
        <f t="shared" ca="1" si="63"/>
        <v>Q4</v>
      </c>
      <c r="AK117" s="90" t="s">
        <v>329</v>
      </c>
      <c r="AL117" s="194"/>
      <c r="AM117" s="103"/>
      <c r="AN117" s="103"/>
      <c r="AO117" s="103"/>
      <c r="AP117" s="103"/>
      <c r="AQ117" s="299"/>
      <c r="AR117" s="327"/>
      <c r="AS117" s="164"/>
      <c r="AT117" s="164"/>
      <c r="AU117" s="164"/>
      <c r="AV117" s="324"/>
      <c r="AW117" s="89"/>
    </row>
    <row r="118" spans="1:49" ht="36" customHeight="1">
      <c r="A118" s="5"/>
      <c r="B118" s="229">
        <v>114</v>
      </c>
      <c r="C118" s="6" t="s">
        <v>6</v>
      </c>
      <c r="D118" s="133" t="s">
        <v>7</v>
      </c>
      <c r="E118" s="7" t="s">
        <v>293</v>
      </c>
      <c r="F118" s="9" t="s">
        <v>413</v>
      </c>
      <c r="G118" s="8"/>
      <c r="H118" s="213">
        <v>325000</v>
      </c>
      <c r="I118" s="51">
        <v>3</v>
      </c>
      <c r="J118" s="56">
        <v>0.3</v>
      </c>
      <c r="K118" s="50"/>
      <c r="L118" s="57"/>
      <c r="M118" s="62">
        <v>6.0000000000000036</v>
      </c>
      <c r="N118" s="63">
        <v>8.0000000000000053</v>
      </c>
      <c r="O118" s="63">
        <v>3</v>
      </c>
      <c r="P118" s="63">
        <v>8</v>
      </c>
      <c r="Q118" s="63">
        <v>2</v>
      </c>
      <c r="R118" s="63">
        <v>6.0000000000000036</v>
      </c>
      <c r="S118" s="63">
        <v>0</v>
      </c>
      <c r="T118" s="64">
        <v>6.0000000000000036</v>
      </c>
      <c r="U118" s="67" t="e">
        <f t="shared" ca="1" si="30"/>
        <v>#DIV/0!</v>
      </c>
      <c r="V118" s="67">
        <f t="shared" ca="1" si="31"/>
        <v>0.3</v>
      </c>
      <c r="W118" s="69">
        <f t="shared" si="32"/>
        <v>0.94736842105263208</v>
      </c>
      <c r="X118" s="69">
        <f t="shared" si="33"/>
        <v>0.84210526315789525</v>
      </c>
      <c r="Y118" s="69">
        <f t="shared" si="34"/>
        <v>0.42105263157894735</v>
      </c>
      <c r="Z118" s="69">
        <f t="shared" si="35"/>
        <v>1.4035087719298245</v>
      </c>
      <c r="AA118" s="69">
        <f t="shared" si="36"/>
        <v>0.17543859649122806</v>
      </c>
      <c r="AB118" s="69">
        <f t="shared" si="37"/>
        <v>0.73684210526315841</v>
      </c>
      <c r="AC118" s="69">
        <f t="shared" si="38"/>
        <v>0</v>
      </c>
      <c r="AD118" s="70">
        <f t="shared" si="39"/>
        <v>0.63157894736842146</v>
      </c>
      <c r="AE118" s="71">
        <f t="shared" si="40"/>
        <v>0.7</v>
      </c>
      <c r="AF118" s="71">
        <f t="shared" ca="1" si="41"/>
        <v>0.7</v>
      </c>
      <c r="AG118" s="72">
        <f t="shared" ca="1" si="42"/>
        <v>0.69999999999999984</v>
      </c>
      <c r="AH118" s="177">
        <f t="shared" si="43"/>
        <v>5.1578947368421071</v>
      </c>
      <c r="AI118" s="185">
        <f t="shared" ca="1" si="44"/>
        <v>36.10526315789474</v>
      </c>
      <c r="AJ118" s="179" t="str">
        <f t="shared" ca="1" si="63"/>
        <v>Q4</v>
      </c>
      <c r="AK118" s="90" t="s">
        <v>329</v>
      </c>
      <c r="AL118" s="194"/>
      <c r="AM118" s="107"/>
      <c r="AN118" s="103"/>
      <c r="AO118" s="103"/>
      <c r="AP118" s="103"/>
      <c r="AQ118" s="299"/>
      <c r="AR118" s="295"/>
      <c r="AS118" s="164"/>
      <c r="AT118" s="164"/>
      <c r="AU118" s="320"/>
      <c r="AV118" s="324"/>
      <c r="AW118" s="89"/>
    </row>
    <row r="119" spans="1:49" ht="36" customHeight="1">
      <c r="A119" s="5">
        <v>334</v>
      </c>
      <c r="B119" s="229">
        <v>115</v>
      </c>
      <c r="C119" s="14" t="s">
        <v>6</v>
      </c>
      <c r="D119" s="168" t="s">
        <v>7</v>
      </c>
      <c r="E119" s="7" t="s">
        <v>723</v>
      </c>
      <c r="F119" s="9" t="s">
        <v>590</v>
      </c>
      <c r="G119" s="8"/>
      <c r="H119" s="213">
        <v>225000</v>
      </c>
      <c r="I119" s="51">
        <v>3</v>
      </c>
      <c r="J119" s="56">
        <v>0.2</v>
      </c>
      <c r="K119" s="50"/>
      <c r="L119" s="57"/>
      <c r="M119" s="62">
        <v>6.0000000000000036</v>
      </c>
      <c r="N119" s="63">
        <v>8.0000000000000053</v>
      </c>
      <c r="O119" s="63">
        <v>4.0000000000000027</v>
      </c>
      <c r="P119" s="63">
        <v>6.0000000000000036</v>
      </c>
      <c r="Q119" s="63">
        <v>3</v>
      </c>
      <c r="R119" s="63">
        <v>5</v>
      </c>
      <c r="S119" s="63">
        <v>0</v>
      </c>
      <c r="T119" s="64">
        <v>6.0000000000000036</v>
      </c>
      <c r="U119" s="67" t="e">
        <f t="shared" ca="1" si="30"/>
        <v>#DIV/0!</v>
      </c>
      <c r="V119" s="67">
        <f t="shared" ca="1" si="31"/>
        <v>0.2</v>
      </c>
      <c r="W119" s="69">
        <f t="shared" si="32"/>
        <v>0.94736842105263208</v>
      </c>
      <c r="X119" s="69">
        <f t="shared" si="33"/>
        <v>0.84210526315789525</v>
      </c>
      <c r="Y119" s="69">
        <f t="shared" si="34"/>
        <v>0.56140350877193024</v>
      </c>
      <c r="Z119" s="69">
        <f t="shared" si="35"/>
        <v>1.052631578947369</v>
      </c>
      <c r="AA119" s="69">
        <f t="shared" si="36"/>
        <v>0.26315789473684209</v>
      </c>
      <c r="AB119" s="69">
        <f t="shared" si="37"/>
        <v>0.61403508771929827</v>
      </c>
      <c r="AC119" s="69">
        <f t="shared" si="38"/>
        <v>0</v>
      </c>
      <c r="AD119" s="70">
        <f t="shared" si="39"/>
        <v>0.63157894736842146</v>
      </c>
      <c r="AE119" s="71">
        <f t="shared" si="40"/>
        <v>0.7</v>
      </c>
      <c r="AF119" s="71">
        <f t="shared" ca="1" si="41"/>
        <v>0.8</v>
      </c>
      <c r="AG119" s="72">
        <f t="shared" ca="1" si="42"/>
        <v>0.73333333333333339</v>
      </c>
      <c r="AH119" s="177">
        <f t="shared" si="43"/>
        <v>4.9122807017543879</v>
      </c>
      <c r="AI119" s="185">
        <f t="shared" ca="1" si="44"/>
        <v>36.023391812865512</v>
      </c>
      <c r="AJ119" s="179" t="str">
        <f t="shared" ca="1" si="63"/>
        <v>Q4</v>
      </c>
      <c r="AK119" s="90" t="s">
        <v>329</v>
      </c>
      <c r="AL119" s="194"/>
      <c r="AM119" s="103"/>
      <c r="AN119" s="103"/>
      <c r="AO119" s="103"/>
      <c r="AP119" s="103"/>
      <c r="AQ119" s="299"/>
      <c r="AR119" s="295"/>
      <c r="AS119" s="164"/>
      <c r="AT119" s="164"/>
      <c r="AU119" s="320"/>
      <c r="AV119" s="324"/>
      <c r="AW119" s="89"/>
    </row>
    <row r="120" spans="1:49" ht="36" customHeight="1">
      <c r="A120" s="153">
        <v>332</v>
      </c>
      <c r="B120" s="229">
        <v>116</v>
      </c>
      <c r="C120" s="14" t="s">
        <v>6</v>
      </c>
      <c r="D120" s="168" t="s">
        <v>7</v>
      </c>
      <c r="E120" s="7" t="s">
        <v>65</v>
      </c>
      <c r="F120" s="8" t="s">
        <v>671</v>
      </c>
      <c r="G120" s="8"/>
      <c r="H120" s="213">
        <v>2000000</v>
      </c>
      <c r="I120" s="50">
        <v>3</v>
      </c>
      <c r="J120" s="156">
        <v>0.3</v>
      </c>
      <c r="K120" s="50"/>
      <c r="L120" s="157"/>
      <c r="M120" s="158">
        <v>5</v>
      </c>
      <c r="N120" s="159">
        <v>6</v>
      </c>
      <c r="O120" s="159">
        <v>2</v>
      </c>
      <c r="P120" s="159">
        <v>5</v>
      </c>
      <c r="Q120" s="159">
        <v>4</v>
      </c>
      <c r="R120" s="159">
        <v>6.0000000000000036</v>
      </c>
      <c r="S120" s="159">
        <v>6</v>
      </c>
      <c r="T120" s="160">
        <v>8</v>
      </c>
      <c r="U120" s="245" t="e">
        <f t="shared" ca="1" si="30"/>
        <v>#DIV/0!</v>
      </c>
      <c r="V120" s="245">
        <f t="shared" ca="1" si="31"/>
        <v>0.3</v>
      </c>
      <c r="W120" s="241">
        <f t="shared" si="32"/>
        <v>0.78947368421052633</v>
      </c>
      <c r="X120" s="241">
        <f t="shared" si="33"/>
        <v>0.63157894736842102</v>
      </c>
      <c r="Y120" s="241">
        <f t="shared" si="34"/>
        <v>0.2807017543859649</v>
      </c>
      <c r="Z120" s="241">
        <f t="shared" si="35"/>
        <v>0.8771929824561403</v>
      </c>
      <c r="AA120" s="241">
        <f t="shared" si="36"/>
        <v>0.35087719298245612</v>
      </c>
      <c r="AB120" s="241">
        <f t="shared" si="37"/>
        <v>0.73684210526315841</v>
      </c>
      <c r="AC120" s="241">
        <f t="shared" si="38"/>
        <v>0.63157894736842102</v>
      </c>
      <c r="AD120" s="242">
        <f t="shared" si="39"/>
        <v>0.84210526315789469</v>
      </c>
      <c r="AE120" s="243">
        <f t="shared" si="40"/>
        <v>0.7</v>
      </c>
      <c r="AF120" s="243">
        <f t="shared" ca="1" si="41"/>
        <v>0.7</v>
      </c>
      <c r="AG120" s="202">
        <f t="shared" ca="1" si="42"/>
        <v>0.69999999999999984</v>
      </c>
      <c r="AH120" s="246">
        <f t="shared" si="43"/>
        <v>5.1403508771929829</v>
      </c>
      <c r="AI120" s="185">
        <f t="shared" ca="1" si="44"/>
        <v>35.98245614035087</v>
      </c>
      <c r="AJ120" s="179" t="str">
        <f t="shared" ca="1" si="63"/>
        <v>Q4</v>
      </c>
      <c r="AK120" s="88" t="s">
        <v>347</v>
      </c>
      <c r="AL120" s="193"/>
      <c r="AM120" s="103"/>
      <c r="AN120" s="103"/>
      <c r="AO120" s="103" t="s">
        <v>416</v>
      </c>
      <c r="AP120" s="103"/>
      <c r="AQ120" s="299"/>
      <c r="AR120" s="295"/>
      <c r="AS120" s="164"/>
      <c r="AT120" s="164"/>
      <c r="AU120" s="320"/>
      <c r="AV120" s="324"/>
      <c r="AW120" s="89"/>
    </row>
    <row r="121" spans="1:49" ht="36" customHeight="1">
      <c r="A121" s="153"/>
      <c r="B121" s="229">
        <v>117</v>
      </c>
      <c r="C121" s="14" t="s">
        <v>6</v>
      </c>
      <c r="D121" s="168" t="s">
        <v>7</v>
      </c>
      <c r="E121" s="7" t="s">
        <v>395</v>
      </c>
      <c r="F121" s="8" t="s">
        <v>514</v>
      </c>
      <c r="G121" s="8"/>
      <c r="H121" s="213">
        <v>580000</v>
      </c>
      <c r="I121" s="51">
        <v>3</v>
      </c>
      <c r="J121" s="56">
        <v>0.3</v>
      </c>
      <c r="K121" s="50"/>
      <c r="L121" s="57"/>
      <c r="M121" s="62">
        <v>6</v>
      </c>
      <c r="N121" s="63">
        <v>8</v>
      </c>
      <c r="O121" s="63">
        <v>4</v>
      </c>
      <c r="P121" s="63">
        <v>4</v>
      </c>
      <c r="Q121" s="63">
        <v>6</v>
      </c>
      <c r="R121" s="63">
        <v>4</v>
      </c>
      <c r="S121" s="63">
        <v>4</v>
      </c>
      <c r="T121" s="64">
        <v>6</v>
      </c>
      <c r="U121" s="67" t="e">
        <f t="shared" ca="1" si="30"/>
        <v>#DIV/0!</v>
      </c>
      <c r="V121" s="67">
        <f t="shared" ca="1" si="31"/>
        <v>0.3</v>
      </c>
      <c r="W121" s="69">
        <f t="shared" si="32"/>
        <v>0.94736842105263153</v>
      </c>
      <c r="X121" s="69">
        <f t="shared" si="33"/>
        <v>0.84210526315789469</v>
      </c>
      <c r="Y121" s="69">
        <f t="shared" si="34"/>
        <v>0.56140350877192979</v>
      </c>
      <c r="Z121" s="69">
        <f t="shared" si="35"/>
        <v>0.70175438596491224</v>
      </c>
      <c r="AA121" s="69">
        <f t="shared" si="36"/>
        <v>0.52631578947368418</v>
      </c>
      <c r="AB121" s="69">
        <f t="shared" si="37"/>
        <v>0.49122807017543857</v>
      </c>
      <c r="AC121" s="69">
        <f t="shared" si="38"/>
        <v>0.42105263157894735</v>
      </c>
      <c r="AD121" s="70">
        <f t="shared" si="39"/>
        <v>0.63157894736842102</v>
      </c>
      <c r="AE121" s="71">
        <f t="shared" si="40"/>
        <v>0.7</v>
      </c>
      <c r="AF121" s="71">
        <f t="shared" ca="1" si="41"/>
        <v>0.7</v>
      </c>
      <c r="AG121" s="72">
        <f t="shared" ca="1" si="42"/>
        <v>0.69999999999999984</v>
      </c>
      <c r="AH121" s="177">
        <f t="shared" si="43"/>
        <v>5.1228070175438596</v>
      </c>
      <c r="AI121" s="185">
        <f t="shared" ca="1" si="44"/>
        <v>35.859649122807006</v>
      </c>
      <c r="AJ121" s="179" t="str">
        <f t="shared" ca="1" si="63"/>
        <v>Q4</v>
      </c>
      <c r="AK121" s="90" t="s">
        <v>329</v>
      </c>
      <c r="AL121" s="194"/>
      <c r="AM121" s="103"/>
      <c r="AN121" s="103"/>
      <c r="AO121" s="103"/>
      <c r="AP121" s="108"/>
      <c r="AQ121" s="299"/>
      <c r="AR121" s="295"/>
      <c r="AS121" s="164"/>
      <c r="AT121" s="164"/>
      <c r="AU121" s="320"/>
      <c r="AV121" s="324"/>
      <c r="AW121" s="89"/>
    </row>
    <row r="122" spans="1:49" ht="36" customHeight="1">
      <c r="A122" s="153"/>
      <c r="B122" s="229">
        <v>118</v>
      </c>
      <c r="C122" s="14" t="s">
        <v>20</v>
      </c>
      <c r="D122" s="168" t="s">
        <v>384</v>
      </c>
      <c r="E122" s="10" t="s">
        <v>524</v>
      </c>
      <c r="F122" s="329" t="s">
        <v>520</v>
      </c>
      <c r="G122" s="8"/>
      <c r="H122" s="330">
        <v>2900000</v>
      </c>
      <c r="I122" s="50">
        <v>4</v>
      </c>
      <c r="J122" s="156">
        <v>0.3</v>
      </c>
      <c r="K122" s="50"/>
      <c r="L122" s="157"/>
      <c r="M122" s="158">
        <v>8</v>
      </c>
      <c r="N122" s="159">
        <v>8</v>
      </c>
      <c r="O122" s="159">
        <v>2</v>
      </c>
      <c r="P122" s="159">
        <v>6.0000000000000036</v>
      </c>
      <c r="Q122" s="159">
        <v>4</v>
      </c>
      <c r="R122" s="159">
        <v>9</v>
      </c>
      <c r="S122" s="159">
        <v>0</v>
      </c>
      <c r="T122" s="160">
        <v>10</v>
      </c>
      <c r="U122" s="245" t="e">
        <f t="shared" ref="U122" ca="1" si="78">(L122-(YEAR(TODAY())-K122))/L122</f>
        <v>#DIV/0!</v>
      </c>
      <c r="V122" s="245">
        <f t="shared" ref="V122" ca="1" si="79">IFERROR(U122,J122)</f>
        <v>0.3</v>
      </c>
      <c r="W122" s="241">
        <f t="shared" ref="W122" si="80">M122*Weight1/(WSum)</f>
        <v>1.263157894736842</v>
      </c>
      <c r="X122" s="241">
        <f t="shared" ref="X122" si="81">N122*Weight2/(WSum)</f>
        <v>0.84210526315789469</v>
      </c>
      <c r="Y122" s="241">
        <f t="shared" ref="Y122" si="82">O122*Weight3/(WSum)</f>
        <v>0.2807017543859649</v>
      </c>
      <c r="Z122" s="241">
        <f t="shared" ref="Z122" si="83">P122*Weight4/(WSum)</f>
        <v>1.052631578947369</v>
      </c>
      <c r="AA122" s="241">
        <f t="shared" ref="AA122" si="84">Q122*Weight5/(WSum)</f>
        <v>0.35087719298245612</v>
      </c>
      <c r="AB122" s="241">
        <f t="shared" ref="AB122" si="85">R122*Weight6/(WSum)</f>
        <v>1.1052631578947369</v>
      </c>
      <c r="AC122" s="241">
        <f t="shared" ref="AC122" si="86">S122*Weight7/(WSum)</f>
        <v>0</v>
      </c>
      <c r="AD122" s="242">
        <f t="shared" ref="AD122" si="87">T122*Weight8/(WSum)</f>
        <v>1.0526315789473684</v>
      </c>
      <c r="AE122" s="243">
        <f t="shared" ref="AE122" si="88">-1/10*I122+1</f>
        <v>0.6</v>
      </c>
      <c r="AF122" s="243">
        <f t="shared" ref="AF122" ca="1" si="89">IF(V122&lt;0,0,-V122+1)</f>
        <v>0.7</v>
      </c>
      <c r="AG122" s="202">
        <f t="shared" ref="AG122" ca="1" si="90">(AE122*CondWeight+AF122*PLifeWeight)/(CondWeight+PLifeWeight)</f>
        <v>0.6333333333333333</v>
      </c>
      <c r="AH122" s="246">
        <f t="shared" ref="AH122" si="91">SUM(W122:AD122)</f>
        <v>5.9473684210526319</v>
      </c>
      <c r="AI122" s="185">
        <v>35.9</v>
      </c>
      <c r="AJ122" s="179" t="str">
        <f ca="1">IF(AG122&gt;$AG$2,IF(AH122&gt;$AH$2,"Q1","Q2"),IF(AH122&gt;$AH$2,"Q3","Q4"))</f>
        <v>Q4</v>
      </c>
      <c r="AK122" s="88" t="s">
        <v>430</v>
      </c>
      <c r="AL122" s="274"/>
      <c r="AM122" s="268"/>
      <c r="AN122" s="103"/>
      <c r="AO122" s="103"/>
      <c r="AP122" s="332"/>
      <c r="AQ122" s="331">
        <v>2900000</v>
      </c>
      <c r="AR122" s="327"/>
      <c r="AS122" s="164"/>
      <c r="AT122" s="164"/>
      <c r="AU122" s="164"/>
      <c r="AV122" s="320">
        <f>AQ122*(1+Efactor)^3</f>
        <v>3215281.8374999994</v>
      </c>
      <c r="AW122" s="89"/>
    </row>
    <row r="123" spans="1:49" ht="36" customHeight="1">
      <c r="A123" s="153"/>
      <c r="B123" s="229">
        <v>119</v>
      </c>
      <c r="C123" s="14" t="s">
        <v>6</v>
      </c>
      <c r="D123" s="168" t="s">
        <v>7</v>
      </c>
      <c r="E123" s="10" t="s">
        <v>389</v>
      </c>
      <c r="F123" s="11" t="s">
        <v>544</v>
      </c>
      <c r="G123" s="119"/>
      <c r="H123" s="225">
        <v>750000</v>
      </c>
      <c r="I123" s="51">
        <v>3</v>
      </c>
      <c r="J123" s="56">
        <v>0.3</v>
      </c>
      <c r="K123" s="50"/>
      <c r="L123" s="57"/>
      <c r="M123" s="62">
        <v>6</v>
      </c>
      <c r="N123" s="63">
        <v>8</v>
      </c>
      <c r="O123" s="63">
        <v>4</v>
      </c>
      <c r="P123" s="63">
        <v>4</v>
      </c>
      <c r="Q123" s="63">
        <v>6</v>
      </c>
      <c r="R123" s="63">
        <v>4</v>
      </c>
      <c r="S123" s="63">
        <v>4</v>
      </c>
      <c r="T123" s="64">
        <v>6</v>
      </c>
      <c r="U123" s="67" t="e">
        <f t="shared" ref="U123:U186" ca="1" si="92">(L123-(YEAR(TODAY())-K123))/L123</f>
        <v>#DIV/0!</v>
      </c>
      <c r="V123" s="67">
        <f t="shared" ref="V123:V186" ca="1" si="93">IFERROR(U123,J123)</f>
        <v>0.3</v>
      </c>
      <c r="W123" s="69">
        <f t="shared" ref="W123:W186" si="94">M123*Weight1/(WSum)</f>
        <v>0.94736842105263153</v>
      </c>
      <c r="X123" s="69">
        <f t="shared" ref="X123:X186" si="95">N123*Weight2/(WSum)</f>
        <v>0.84210526315789469</v>
      </c>
      <c r="Y123" s="69">
        <f t="shared" ref="Y123:Y186" si="96">O123*Weight3/(WSum)</f>
        <v>0.56140350877192979</v>
      </c>
      <c r="Z123" s="69">
        <f t="shared" ref="Z123:Z186" si="97">P123*Weight4/(WSum)</f>
        <v>0.70175438596491224</v>
      </c>
      <c r="AA123" s="69">
        <f t="shared" ref="AA123:AA186" si="98">Q123*Weight5/(WSum)</f>
        <v>0.52631578947368418</v>
      </c>
      <c r="AB123" s="69">
        <f t="shared" ref="AB123:AB186" si="99">R123*Weight6/(WSum)</f>
        <v>0.49122807017543857</v>
      </c>
      <c r="AC123" s="69">
        <f t="shared" ref="AC123:AC186" si="100">S123*Weight7/(WSum)</f>
        <v>0.42105263157894735</v>
      </c>
      <c r="AD123" s="70">
        <f t="shared" ref="AD123:AD186" si="101">T123*Weight8/(WSum)</f>
        <v>0.63157894736842102</v>
      </c>
      <c r="AE123" s="71">
        <f t="shared" ref="AE123:AE186" si="102">-1/10*I123+1</f>
        <v>0.7</v>
      </c>
      <c r="AF123" s="71">
        <f t="shared" ref="AF123:AF186" ca="1" si="103">IF(V123&lt;0,0,-V123+1)</f>
        <v>0.7</v>
      </c>
      <c r="AG123" s="72">
        <f t="shared" ref="AG123:AG186" ca="1" si="104">(AE123*CondWeight+AF123*PLifeWeight)/(CondWeight+PLifeWeight)</f>
        <v>0.69999999999999984</v>
      </c>
      <c r="AH123" s="177">
        <f t="shared" ref="AH123:AH186" si="105">SUM(W123:AD123)</f>
        <v>5.1228070175438596</v>
      </c>
      <c r="AI123" s="185">
        <f t="shared" ref="AI123:AI186" ca="1" si="106">AH123*AG123*10</f>
        <v>35.859649122807006</v>
      </c>
      <c r="AJ123" s="179" t="str">
        <f t="shared" ca="1" si="63"/>
        <v>Q4</v>
      </c>
      <c r="AK123" s="88" t="s">
        <v>329</v>
      </c>
      <c r="AL123" s="193"/>
      <c r="AM123" s="103"/>
      <c r="AN123" s="103"/>
      <c r="AO123" s="109"/>
      <c r="AP123" s="108"/>
      <c r="AQ123" s="299"/>
      <c r="AR123" s="295"/>
      <c r="AS123" s="164"/>
      <c r="AT123" s="164"/>
      <c r="AU123" s="320"/>
      <c r="AV123" s="324"/>
      <c r="AW123" s="89"/>
    </row>
    <row r="124" spans="1:49" ht="36" customHeight="1">
      <c r="A124" s="153"/>
      <c r="B124" s="229">
        <v>120</v>
      </c>
      <c r="C124" s="14" t="s">
        <v>6</v>
      </c>
      <c r="D124" s="168" t="s">
        <v>7</v>
      </c>
      <c r="E124" s="7" t="s">
        <v>396</v>
      </c>
      <c r="F124" s="9" t="s">
        <v>554</v>
      </c>
      <c r="G124" s="106"/>
      <c r="H124" s="213">
        <v>450000</v>
      </c>
      <c r="I124" s="51">
        <v>3</v>
      </c>
      <c r="J124" s="56">
        <v>0.3</v>
      </c>
      <c r="K124" s="50"/>
      <c r="L124" s="57"/>
      <c r="M124" s="62">
        <v>6</v>
      </c>
      <c r="N124" s="63">
        <v>8</v>
      </c>
      <c r="O124" s="63">
        <v>4</v>
      </c>
      <c r="P124" s="63">
        <v>4</v>
      </c>
      <c r="Q124" s="63">
        <v>6</v>
      </c>
      <c r="R124" s="63">
        <v>4</v>
      </c>
      <c r="S124" s="63">
        <v>4</v>
      </c>
      <c r="T124" s="64">
        <v>6</v>
      </c>
      <c r="U124" s="67" t="e">
        <f t="shared" ca="1" si="92"/>
        <v>#DIV/0!</v>
      </c>
      <c r="V124" s="67">
        <f t="shared" ca="1" si="93"/>
        <v>0.3</v>
      </c>
      <c r="W124" s="69">
        <f t="shared" si="94"/>
        <v>0.94736842105263153</v>
      </c>
      <c r="X124" s="69">
        <f t="shared" si="95"/>
        <v>0.84210526315789469</v>
      </c>
      <c r="Y124" s="69">
        <f t="shared" si="96"/>
        <v>0.56140350877192979</v>
      </c>
      <c r="Z124" s="69">
        <f t="shared" si="97"/>
        <v>0.70175438596491224</v>
      </c>
      <c r="AA124" s="69">
        <f t="shared" si="98"/>
        <v>0.52631578947368418</v>
      </c>
      <c r="AB124" s="69">
        <f t="shared" si="99"/>
        <v>0.49122807017543857</v>
      </c>
      <c r="AC124" s="69">
        <f t="shared" si="100"/>
        <v>0.42105263157894735</v>
      </c>
      <c r="AD124" s="70">
        <f t="shared" si="101"/>
        <v>0.63157894736842102</v>
      </c>
      <c r="AE124" s="71">
        <f t="shared" si="102"/>
        <v>0.7</v>
      </c>
      <c r="AF124" s="71">
        <f t="shared" ca="1" si="103"/>
        <v>0.7</v>
      </c>
      <c r="AG124" s="72">
        <f t="shared" ca="1" si="104"/>
        <v>0.69999999999999984</v>
      </c>
      <c r="AH124" s="177">
        <f t="shared" si="105"/>
        <v>5.1228070175438596</v>
      </c>
      <c r="AI124" s="185">
        <f t="shared" ca="1" si="106"/>
        <v>35.859649122807006</v>
      </c>
      <c r="AJ124" s="179" t="str">
        <f t="shared" ca="1" si="63"/>
        <v>Q4</v>
      </c>
      <c r="AK124" s="88" t="s">
        <v>329</v>
      </c>
      <c r="AL124" s="193"/>
      <c r="AM124" s="103"/>
      <c r="AN124" s="103"/>
      <c r="AO124" s="183"/>
      <c r="AP124" s="199"/>
      <c r="AQ124" s="299"/>
      <c r="AR124" s="295"/>
      <c r="AS124" s="164"/>
      <c r="AT124" s="164"/>
      <c r="AU124" s="320"/>
      <c r="AV124" s="324"/>
      <c r="AW124" s="89"/>
    </row>
    <row r="125" spans="1:49" ht="36" customHeight="1">
      <c r="A125" s="153">
        <v>305</v>
      </c>
      <c r="B125" s="229">
        <v>121</v>
      </c>
      <c r="C125" s="14" t="s">
        <v>8</v>
      </c>
      <c r="D125" s="168" t="s">
        <v>7</v>
      </c>
      <c r="E125" s="7" t="s">
        <v>262</v>
      </c>
      <c r="F125" s="31" t="s">
        <v>652</v>
      </c>
      <c r="G125" s="31" t="s">
        <v>651</v>
      </c>
      <c r="H125" s="213">
        <v>250000</v>
      </c>
      <c r="I125" s="51">
        <v>2</v>
      </c>
      <c r="J125" s="56">
        <v>0.2</v>
      </c>
      <c r="K125" s="50"/>
      <c r="L125" s="57"/>
      <c r="M125" s="62">
        <v>8.0000000000000053</v>
      </c>
      <c r="N125" s="63">
        <v>6.0000000000000036</v>
      </c>
      <c r="O125" s="63">
        <v>0</v>
      </c>
      <c r="P125" s="63">
        <v>4</v>
      </c>
      <c r="Q125" s="63">
        <v>1</v>
      </c>
      <c r="R125" s="63">
        <v>6.0000000000000036</v>
      </c>
      <c r="S125" s="63">
        <v>0</v>
      </c>
      <c r="T125" s="64">
        <v>10</v>
      </c>
      <c r="U125" s="67" t="e">
        <f t="shared" ca="1" si="92"/>
        <v>#DIV/0!</v>
      </c>
      <c r="V125" s="67">
        <f t="shared" ca="1" si="93"/>
        <v>0.2</v>
      </c>
      <c r="W125" s="69">
        <f t="shared" si="94"/>
        <v>1.2631578947368429</v>
      </c>
      <c r="X125" s="69">
        <f t="shared" si="95"/>
        <v>0.63157894736842146</v>
      </c>
      <c r="Y125" s="69">
        <f t="shared" si="96"/>
        <v>0</v>
      </c>
      <c r="Z125" s="69">
        <f t="shared" si="97"/>
        <v>0.70175438596491224</v>
      </c>
      <c r="AA125" s="69">
        <f t="shared" si="98"/>
        <v>8.771929824561403E-2</v>
      </c>
      <c r="AB125" s="69">
        <f t="shared" si="99"/>
        <v>0.73684210526315841</v>
      </c>
      <c r="AC125" s="69">
        <f t="shared" si="100"/>
        <v>0</v>
      </c>
      <c r="AD125" s="70">
        <f t="shared" si="101"/>
        <v>1.0526315789473684</v>
      </c>
      <c r="AE125" s="71">
        <f t="shared" si="102"/>
        <v>0.8</v>
      </c>
      <c r="AF125" s="71">
        <f t="shared" ca="1" si="103"/>
        <v>0.8</v>
      </c>
      <c r="AG125" s="72">
        <f t="shared" ca="1" si="104"/>
        <v>0.80000000000000016</v>
      </c>
      <c r="AH125" s="177">
        <f t="shared" si="105"/>
        <v>4.4736842105263168</v>
      </c>
      <c r="AI125" s="185">
        <f t="shared" ca="1" si="106"/>
        <v>35.789473684210542</v>
      </c>
      <c r="AJ125" s="179" t="str">
        <f t="shared" ca="1" si="63"/>
        <v>Q2</v>
      </c>
      <c r="AK125" s="90" t="s">
        <v>338</v>
      </c>
      <c r="AL125" s="101"/>
      <c r="AM125" s="269"/>
      <c r="AN125" s="103"/>
      <c r="AO125" s="103"/>
      <c r="AP125" s="108"/>
      <c r="AQ125" s="299"/>
      <c r="AR125" s="165"/>
      <c r="AS125" s="164"/>
      <c r="AT125" s="164"/>
      <c r="AU125" s="320"/>
      <c r="AV125" s="324"/>
      <c r="AW125" s="89"/>
    </row>
    <row r="126" spans="1:49" ht="36" customHeight="1">
      <c r="A126" s="153">
        <v>69</v>
      </c>
      <c r="B126" s="229">
        <v>122</v>
      </c>
      <c r="C126" s="14" t="s">
        <v>14</v>
      </c>
      <c r="D126" s="168" t="s">
        <v>15</v>
      </c>
      <c r="E126" s="10" t="s">
        <v>663</v>
      </c>
      <c r="F126" s="23" t="s">
        <v>642</v>
      </c>
      <c r="G126" s="106" t="s">
        <v>16</v>
      </c>
      <c r="H126" s="213">
        <v>136800</v>
      </c>
      <c r="I126" s="51">
        <v>4</v>
      </c>
      <c r="J126" s="56">
        <v>0.4</v>
      </c>
      <c r="K126" s="50"/>
      <c r="L126" s="57"/>
      <c r="M126" s="62">
        <v>5</v>
      </c>
      <c r="N126" s="63">
        <v>8.0000000000000053</v>
      </c>
      <c r="O126" s="63">
        <v>6</v>
      </c>
      <c r="P126" s="63">
        <v>7</v>
      </c>
      <c r="Q126" s="63">
        <v>6.0000000000000036</v>
      </c>
      <c r="R126" s="63">
        <v>8</v>
      </c>
      <c r="S126" s="63">
        <v>0</v>
      </c>
      <c r="T126" s="64">
        <v>7</v>
      </c>
      <c r="U126" s="67" t="e">
        <f t="shared" ca="1" si="92"/>
        <v>#DIV/0!</v>
      </c>
      <c r="V126" s="67">
        <f t="shared" ca="1" si="93"/>
        <v>0.4</v>
      </c>
      <c r="W126" s="69">
        <f t="shared" si="94"/>
        <v>0.78947368421052633</v>
      </c>
      <c r="X126" s="69">
        <f t="shared" si="95"/>
        <v>0.84210526315789525</v>
      </c>
      <c r="Y126" s="69">
        <f t="shared" si="96"/>
        <v>0.84210526315789469</v>
      </c>
      <c r="Z126" s="69">
        <f t="shared" si="97"/>
        <v>1.2280701754385965</v>
      </c>
      <c r="AA126" s="69">
        <f t="shared" si="98"/>
        <v>0.52631578947368451</v>
      </c>
      <c r="AB126" s="69">
        <f t="shared" si="99"/>
        <v>0.98245614035087714</v>
      </c>
      <c r="AC126" s="69">
        <f t="shared" si="100"/>
        <v>0</v>
      </c>
      <c r="AD126" s="70">
        <f t="shared" si="101"/>
        <v>0.73684210526315785</v>
      </c>
      <c r="AE126" s="71">
        <f t="shared" si="102"/>
        <v>0.6</v>
      </c>
      <c r="AF126" s="71">
        <f t="shared" ca="1" si="103"/>
        <v>0.6</v>
      </c>
      <c r="AG126" s="72">
        <f t="shared" ca="1" si="104"/>
        <v>0.6</v>
      </c>
      <c r="AH126" s="177">
        <f t="shared" si="105"/>
        <v>5.9473684210526319</v>
      </c>
      <c r="AI126" s="185">
        <f t="shared" ca="1" si="106"/>
        <v>35.684210526315788</v>
      </c>
      <c r="AJ126" s="179" t="str">
        <f t="shared" ca="1" si="63"/>
        <v>Q4</v>
      </c>
      <c r="AK126" s="90" t="s">
        <v>342</v>
      </c>
      <c r="AL126" s="195"/>
      <c r="AM126" s="103"/>
      <c r="AN126" s="103"/>
      <c r="AO126" s="103"/>
      <c r="AP126" s="108"/>
      <c r="AQ126" s="299"/>
      <c r="AR126" s="327"/>
      <c r="AS126" s="164"/>
      <c r="AT126" s="164"/>
      <c r="AU126" s="320"/>
      <c r="AV126" s="324"/>
      <c r="AW126" s="89"/>
    </row>
    <row r="127" spans="1:49" ht="36" customHeight="1">
      <c r="A127" s="5">
        <v>86</v>
      </c>
      <c r="B127" s="229">
        <v>123</v>
      </c>
      <c r="C127" s="6" t="s">
        <v>8</v>
      </c>
      <c r="D127" s="133" t="s">
        <v>7</v>
      </c>
      <c r="E127" s="7" t="s">
        <v>696</v>
      </c>
      <c r="F127" s="11" t="s">
        <v>52</v>
      </c>
      <c r="G127" s="8"/>
      <c r="H127" s="219">
        <v>185000</v>
      </c>
      <c r="I127" s="51">
        <v>2</v>
      </c>
      <c r="J127" s="56">
        <v>0.1</v>
      </c>
      <c r="K127" s="50"/>
      <c r="L127" s="57"/>
      <c r="M127" s="62">
        <v>6</v>
      </c>
      <c r="N127" s="63">
        <v>6.0000000000000036</v>
      </c>
      <c r="O127" s="63">
        <v>0</v>
      </c>
      <c r="P127" s="63">
        <v>6.0000000000000036</v>
      </c>
      <c r="Q127" s="63">
        <v>6</v>
      </c>
      <c r="R127" s="63">
        <v>4.0000000000000027</v>
      </c>
      <c r="S127" s="63">
        <v>0</v>
      </c>
      <c r="T127" s="64">
        <v>6.0000000000000036</v>
      </c>
      <c r="U127" s="67" t="e">
        <f t="shared" ca="1" si="92"/>
        <v>#DIV/0!</v>
      </c>
      <c r="V127" s="67">
        <f t="shared" ca="1" si="93"/>
        <v>0.1</v>
      </c>
      <c r="W127" s="69">
        <f t="shared" si="94"/>
        <v>0.94736842105263153</v>
      </c>
      <c r="X127" s="69">
        <f t="shared" si="95"/>
        <v>0.63157894736842146</v>
      </c>
      <c r="Y127" s="69">
        <f t="shared" si="96"/>
        <v>0</v>
      </c>
      <c r="Z127" s="69">
        <f t="shared" si="97"/>
        <v>1.052631578947369</v>
      </c>
      <c r="AA127" s="69">
        <f t="shared" si="98"/>
        <v>0.52631578947368418</v>
      </c>
      <c r="AB127" s="69">
        <f t="shared" si="99"/>
        <v>0.4912280701754389</v>
      </c>
      <c r="AC127" s="69">
        <f t="shared" si="100"/>
        <v>0</v>
      </c>
      <c r="AD127" s="70">
        <f t="shared" si="101"/>
        <v>0.63157894736842146</v>
      </c>
      <c r="AE127" s="71">
        <f t="shared" si="102"/>
        <v>0.8</v>
      </c>
      <c r="AF127" s="71">
        <f t="shared" ca="1" si="103"/>
        <v>0.9</v>
      </c>
      <c r="AG127" s="72">
        <f t="shared" ca="1" si="104"/>
        <v>0.83333333333333337</v>
      </c>
      <c r="AH127" s="177">
        <f t="shared" si="105"/>
        <v>4.2807017543859667</v>
      </c>
      <c r="AI127" s="185">
        <f t="shared" ca="1" si="106"/>
        <v>35.672514619883053</v>
      </c>
      <c r="AJ127" s="179" t="str">
        <f t="shared" ca="1" si="63"/>
        <v>Q2</v>
      </c>
      <c r="AK127" s="90" t="s">
        <v>338</v>
      </c>
      <c r="AL127" s="101"/>
      <c r="AM127" s="269"/>
      <c r="AN127" s="103"/>
      <c r="AO127" s="103"/>
      <c r="AP127" s="108"/>
      <c r="AQ127" s="299"/>
      <c r="AR127" s="327"/>
      <c r="AS127" s="164"/>
      <c r="AT127" s="164"/>
      <c r="AU127" s="320"/>
      <c r="AV127" s="324"/>
      <c r="AW127" s="89"/>
    </row>
    <row r="128" spans="1:49" ht="36" customHeight="1">
      <c r="A128" s="5">
        <v>40</v>
      </c>
      <c r="B128" s="229">
        <v>124</v>
      </c>
      <c r="C128" s="6" t="s">
        <v>14</v>
      </c>
      <c r="D128" s="133" t="s">
        <v>15</v>
      </c>
      <c r="E128" s="10" t="s">
        <v>664</v>
      </c>
      <c r="F128" s="239" t="s">
        <v>613</v>
      </c>
      <c r="G128" s="113" t="s">
        <v>16</v>
      </c>
      <c r="H128" s="215">
        <v>230000</v>
      </c>
      <c r="I128" s="51">
        <v>4</v>
      </c>
      <c r="J128" s="56">
        <v>0.5</v>
      </c>
      <c r="K128" s="50"/>
      <c r="L128" s="57"/>
      <c r="M128" s="62">
        <v>6</v>
      </c>
      <c r="N128" s="63">
        <v>7</v>
      </c>
      <c r="O128" s="63">
        <v>6</v>
      </c>
      <c r="P128" s="63">
        <v>8.0000000000000053</v>
      </c>
      <c r="Q128" s="63">
        <v>6.0000000000000036</v>
      </c>
      <c r="R128" s="63">
        <v>8.0000000000000053</v>
      </c>
      <c r="S128" s="63">
        <v>0</v>
      </c>
      <c r="T128" s="64">
        <v>8</v>
      </c>
      <c r="U128" s="67" t="e">
        <f t="shared" ca="1" si="92"/>
        <v>#DIV/0!</v>
      </c>
      <c r="V128" s="67">
        <f t="shared" ca="1" si="93"/>
        <v>0.5</v>
      </c>
      <c r="W128" s="69">
        <f t="shared" si="94"/>
        <v>0.94736842105263153</v>
      </c>
      <c r="X128" s="69">
        <f t="shared" si="95"/>
        <v>0.73684210526315785</v>
      </c>
      <c r="Y128" s="69">
        <f t="shared" si="96"/>
        <v>0.84210526315789469</v>
      </c>
      <c r="Z128" s="69">
        <f t="shared" si="97"/>
        <v>1.4035087719298256</v>
      </c>
      <c r="AA128" s="69">
        <f t="shared" si="98"/>
        <v>0.52631578947368451</v>
      </c>
      <c r="AB128" s="69">
        <f t="shared" si="99"/>
        <v>0.9824561403508778</v>
      </c>
      <c r="AC128" s="69">
        <f t="shared" si="100"/>
        <v>0</v>
      </c>
      <c r="AD128" s="70">
        <f t="shared" si="101"/>
        <v>0.84210526315789469</v>
      </c>
      <c r="AE128" s="71">
        <f t="shared" si="102"/>
        <v>0.6</v>
      </c>
      <c r="AF128" s="71">
        <f t="shared" ca="1" si="103"/>
        <v>0.5</v>
      </c>
      <c r="AG128" s="72">
        <f t="shared" ca="1" si="104"/>
        <v>0.56666666666666665</v>
      </c>
      <c r="AH128" s="177">
        <f t="shared" si="105"/>
        <v>6.2807017543859658</v>
      </c>
      <c r="AI128" s="185">
        <f t="shared" ca="1" si="106"/>
        <v>35.590643274853804</v>
      </c>
      <c r="AJ128" s="179" t="str">
        <f t="shared" ca="1" si="63"/>
        <v>Q3</v>
      </c>
      <c r="AK128" s="90" t="s">
        <v>342</v>
      </c>
      <c r="AL128" s="194"/>
      <c r="AM128" s="103"/>
      <c r="AN128" s="103"/>
      <c r="AO128" s="103"/>
      <c r="AP128" s="108"/>
      <c r="AQ128" s="299"/>
      <c r="AR128" s="295"/>
      <c r="AS128" s="164"/>
      <c r="AT128" s="164"/>
      <c r="AU128" s="320"/>
      <c r="AV128" s="324"/>
      <c r="AW128" s="89"/>
    </row>
    <row r="129" spans="1:49" ht="36" customHeight="1">
      <c r="A129" s="5">
        <v>94</v>
      </c>
      <c r="B129" s="229">
        <v>125</v>
      </c>
      <c r="C129" s="6" t="s">
        <v>6</v>
      </c>
      <c r="D129" s="133" t="s">
        <v>7</v>
      </c>
      <c r="E129" s="7" t="s">
        <v>57</v>
      </c>
      <c r="F129" s="9" t="s">
        <v>665</v>
      </c>
      <c r="G129" s="8"/>
      <c r="H129" s="213">
        <v>450000</v>
      </c>
      <c r="I129" s="50">
        <v>4</v>
      </c>
      <c r="J129" s="56">
        <v>0.4</v>
      </c>
      <c r="K129" s="50"/>
      <c r="L129" s="57"/>
      <c r="M129" s="62">
        <v>6.0000000000000036</v>
      </c>
      <c r="N129" s="63">
        <v>7</v>
      </c>
      <c r="O129" s="63">
        <v>5</v>
      </c>
      <c r="P129" s="63">
        <v>5</v>
      </c>
      <c r="Q129" s="63">
        <v>4</v>
      </c>
      <c r="R129" s="63">
        <v>6</v>
      </c>
      <c r="S129" s="63">
        <v>7</v>
      </c>
      <c r="T129" s="64">
        <v>8.0000000000000053</v>
      </c>
      <c r="U129" s="67" t="e">
        <f t="shared" ca="1" si="92"/>
        <v>#DIV/0!</v>
      </c>
      <c r="V129" s="67">
        <f t="shared" ca="1" si="93"/>
        <v>0.4</v>
      </c>
      <c r="W129" s="69">
        <f t="shared" si="94"/>
        <v>0.94736842105263208</v>
      </c>
      <c r="X129" s="69">
        <f t="shared" si="95"/>
        <v>0.73684210526315785</v>
      </c>
      <c r="Y129" s="69">
        <f t="shared" si="96"/>
        <v>0.70175438596491224</v>
      </c>
      <c r="Z129" s="69">
        <f t="shared" si="97"/>
        <v>0.8771929824561403</v>
      </c>
      <c r="AA129" s="69">
        <f t="shared" si="98"/>
        <v>0.35087719298245612</v>
      </c>
      <c r="AB129" s="69">
        <f t="shared" si="99"/>
        <v>0.73684210526315785</v>
      </c>
      <c r="AC129" s="69">
        <f t="shared" si="100"/>
        <v>0.73684210526315785</v>
      </c>
      <c r="AD129" s="70">
        <f t="shared" si="101"/>
        <v>0.84210526315789525</v>
      </c>
      <c r="AE129" s="71">
        <f t="shared" si="102"/>
        <v>0.6</v>
      </c>
      <c r="AF129" s="71">
        <f t="shared" ca="1" si="103"/>
        <v>0.6</v>
      </c>
      <c r="AG129" s="72">
        <f t="shared" ca="1" si="104"/>
        <v>0.6</v>
      </c>
      <c r="AH129" s="177">
        <f t="shared" si="105"/>
        <v>5.9298245614035094</v>
      </c>
      <c r="AI129" s="185">
        <f t="shared" ca="1" si="106"/>
        <v>35.578947368421055</v>
      </c>
      <c r="AJ129" s="179" t="str">
        <f t="shared" ca="1" si="63"/>
        <v>Q4</v>
      </c>
      <c r="AK129" s="88" t="s">
        <v>329</v>
      </c>
      <c r="AL129" s="193" t="s">
        <v>416</v>
      </c>
      <c r="AM129" s="103"/>
      <c r="AN129" s="103"/>
      <c r="AO129" s="103"/>
      <c r="AP129" s="108"/>
      <c r="AQ129" s="299"/>
      <c r="AR129" s="295"/>
      <c r="AS129" s="164"/>
      <c r="AT129" s="164"/>
      <c r="AU129" s="320"/>
      <c r="AV129" s="324"/>
      <c r="AW129" s="89"/>
    </row>
    <row r="130" spans="1:49" ht="36" customHeight="1">
      <c r="A130" s="5">
        <v>181</v>
      </c>
      <c r="B130" s="229">
        <v>126</v>
      </c>
      <c r="C130" s="6" t="s">
        <v>20</v>
      </c>
      <c r="D130" s="133" t="s">
        <v>7</v>
      </c>
      <c r="E130" s="18" t="s">
        <v>134</v>
      </c>
      <c r="F130" s="20" t="s">
        <v>675</v>
      </c>
      <c r="G130" s="20" t="s">
        <v>135</v>
      </c>
      <c r="H130" s="215">
        <v>192000</v>
      </c>
      <c r="I130" s="51">
        <v>3</v>
      </c>
      <c r="J130" s="56">
        <v>0.3</v>
      </c>
      <c r="K130" s="50"/>
      <c r="L130" s="57"/>
      <c r="M130" s="62">
        <v>5</v>
      </c>
      <c r="N130" s="63">
        <v>1</v>
      </c>
      <c r="O130" s="63">
        <v>6.0000000000000036</v>
      </c>
      <c r="P130" s="63">
        <v>7.0000000000000044</v>
      </c>
      <c r="Q130" s="63">
        <v>6.0000000000000036</v>
      </c>
      <c r="R130" s="63">
        <v>6.0000000000000036</v>
      </c>
      <c r="S130" s="63">
        <v>1</v>
      </c>
      <c r="T130" s="64">
        <v>7.0000000000000044</v>
      </c>
      <c r="U130" s="67" t="e">
        <f t="shared" ca="1" si="92"/>
        <v>#DIV/0!</v>
      </c>
      <c r="V130" s="67">
        <f t="shared" ca="1" si="93"/>
        <v>0.3</v>
      </c>
      <c r="W130" s="69">
        <f t="shared" si="94"/>
        <v>0.78947368421052633</v>
      </c>
      <c r="X130" s="69">
        <f t="shared" si="95"/>
        <v>0.10526315789473684</v>
      </c>
      <c r="Y130" s="69">
        <f t="shared" si="96"/>
        <v>0.84210526315789525</v>
      </c>
      <c r="Z130" s="69">
        <f t="shared" si="97"/>
        <v>1.2280701754385972</v>
      </c>
      <c r="AA130" s="69">
        <f t="shared" si="98"/>
        <v>0.52631578947368451</v>
      </c>
      <c r="AB130" s="69">
        <f t="shared" si="99"/>
        <v>0.73684210526315841</v>
      </c>
      <c r="AC130" s="69">
        <f t="shared" si="100"/>
        <v>0.10526315789473684</v>
      </c>
      <c r="AD130" s="70">
        <f t="shared" si="101"/>
        <v>0.73684210526315841</v>
      </c>
      <c r="AE130" s="71">
        <f t="shared" si="102"/>
        <v>0.7</v>
      </c>
      <c r="AF130" s="71">
        <f t="shared" ca="1" si="103"/>
        <v>0.7</v>
      </c>
      <c r="AG130" s="72">
        <f t="shared" ca="1" si="104"/>
        <v>0.69999999999999984</v>
      </c>
      <c r="AH130" s="177">
        <f t="shared" si="105"/>
        <v>5.0701754385964941</v>
      </c>
      <c r="AI130" s="185">
        <f t="shared" ca="1" si="106"/>
        <v>35.491228070175453</v>
      </c>
      <c r="AJ130" s="179" t="str">
        <f t="shared" ca="1" si="63"/>
        <v>Q4</v>
      </c>
      <c r="AK130" s="90" t="s">
        <v>329</v>
      </c>
      <c r="AL130" s="194"/>
      <c r="AM130" s="103"/>
      <c r="AN130" s="103"/>
      <c r="AO130" s="103"/>
      <c r="AP130" s="108"/>
      <c r="AQ130" s="299"/>
      <c r="AR130" s="295"/>
      <c r="AS130" s="164"/>
      <c r="AT130" s="164"/>
      <c r="AU130" s="320"/>
      <c r="AV130" s="324"/>
      <c r="AW130" s="89"/>
    </row>
    <row r="131" spans="1:49" ht="36" customHeight="1">
      <c r="A131" s="5"/>
      <c r="B131" s="229">
        <v>127</v>
      </c>
      <c r="C131" s="6" t="s">
        <v>6</v>
      </c>
      <c r="D131" s="133" t="s">
        <v>7</v>
      </c>
      <c r="E131" s="7" t="s">
        <v>102</v>
      </c>
      <c r="F131" s="9" t="s">
        <v>473</v>
      </c>
      <c r="G131" s="20"/>
      <c r="H131" s="216">
        <v>325000</v>
      </c>
      <c r="I131" s="51">
        <v>3</v>
      </c>
      <c r="J131" s="56">
        <v>0.3</v>
      </c>
      <c r="K131" s="50"/>
      <c r="L131" s="57"/>
      <c r="M131" s="62">
        <v>6</v>
      </c>
      <c r="N131" s="63">
        <v>8</v>
      </c>
      <c r="O131" s="63">
        <v>4</v>
      </c>
      <c r="P131" s="63">
        <v>4</v>
      </c>
      <c r="Q131" s="63">
        <v>4</v>
      </c>
      <c r="R131" s="63">
        <v>5</v>
      </c>
      <c r="S131" s="63">
        <v>4</v>
      </c>
      <c r="T131" s="64">
        <v>6</v>
      </c>
      <c r="U131" s="67" t="e">
        <f t="shared" ca="1" si="92"/>
        <v>#DIV/0!</v>
      </c>
      <c r="V131" s="67">
        <f t="shared" ca="1" si="93"/>
        <v>0.3</v>
      </c>
      <c r="W131" s="69">
        <f t="shared" si="94"/>
        <v>0.94736842105263153</v>
      </c>
      <c r="X131" s="69">
        <f t="shared" si="95"/>
        <v>0.84210526315789469</v>
      </c>
      <c r="Y131" s="69">
        <f t="shared" si="96"/>
        <v>0.56140350877192979</v>
      </c>
      <c r="Z131" s="69">
        <f t="shared" si="97"/>
        <v>0.70175438596491224</v>
      </c>
      <c r="AA131" s="69">
        <f t="shared" si="98"/>
        <v>0.35087719298245612</v>
      </c>
      <c r="AB131" s="69">
        <f t="shared" si="99"/>
        <v>0.61403508771929827</v>
      </c>
      <c r="AC131" s="69">
        <f t="shared" si="100"/>
        <v>0.42105263157894735</v>
      </c>
      <c r="AD131" s="70">
        <f t="shared" si="101"/>
        <v>0.63157894736842102</v>
      </c>
      <c r="AE131" s="71">
        <f t="shared" si="102"/>
        <v>0.7</v>
      </c>
      <c r="AF131" s="71">
        <f t="shared" ca="1" si="103"/>
        <v>0.7</v>
      </c>
      <c r="AG131" s="72">
        <f t="shared" ca="1" si="104"/>
        <v>0.69999999999999984</v>
      </c>
      <c r="AH131" s="177">
        <f t="shared" si="105"/>
        <v>5.0701754385964914</v>
      </c>
      <c r="AI131" s="185">
        <f t="shared" ca="1" si="106"/>
        <v>35.491228070175431</v>
      </c>
      <c r="AJ131" s="179" t="str">
        <f t="shared" ca="1" si="63"/>
        <v>Q4</v>
      </c>
      <c r="AK131" s="90" t="s">
        <v>329</v>
      </c>
      <c r="AL131" s="101"/>
      <c r="AM131" s="269"/>
      <c r="AN131" s="103"/>
      <c r="AO131" s="103"/>
      <c r="AP131" s="108"/>
      <c r="AQ131" s="299"/>
      <c r="AR131" s="165"/>
      <c r="AS131" s="164"/>
      <c r="AT131" s="164"/>
      <c r="AU131" s="320"/>
      <c r="AV131" s="324"/>
      <c r="AW131" s="89"/>
    </row>
    <row r="132" spans="1:49" ht="36" customHeight="1">
      <c r="A132" s="5">
        <v>205</v>
      </c>
      <c r="B132" s="229">
        <v>128</v>
      </c>
      <c r="C132" s="6" t="s">
        <v>8</v>
      </c>
      <c r="D132" s="133" t="s">
        <v>7</v>
      </c>
      <c r="E132" s="18" t="s">
        <v>610</v>
      </c>
      <c r="F132" s="19" t="s">
        <v>606</v>
      </c>
      <c r="G132" s="20" t="s">
        <v>153</v>
      </c>
      <c r="H132" s="215">
        <v>110000</v>
      </c>
      <c r="I132" s="51">
        <v>2</v>
      </c>
      <c r="J132" s="56">
        <v>0.3</v>
      </c>
      <c r="K132" s="50"/>
      <c r="L132" s="57"/>
      <c r="M132" s="62">
        <v>4</v>
      </c>
      <c r="N132" s="63">
        <v>7</v>
      </c>
      <c r="O132" s="63">
        <v>1</v>
      </c>
      <c r="P132" s="63">
        <v>8.0000000000000053</v>
      </c>
      <c r="Q132" s="63">
        <v>1</v>
      </c>
      <c r="R132" s="63">
        <v>8.0000000000000053</v>
      </c>
      <c r="S132" s="63">
        <v>0</v>
      </c>
      <c r="T132" s="64">
        <v>6</v>
      </c>
      <c r="U132" s="67" t="e">
        <f t="shared" ca="1" si="92"/>
        <v>#DIV/0!</v>
      </c>
      <c r="V132" s="67">
        <f t="shared" ca="1" si="93"/>
        <v>0.3</v>
      </c>
      <c r="W132" s="69">
        <f t="shared" si="94"/>
        <v>0.63157894736842102</v>
      </c>
      <c r="X132" s="69">
        <f t="shared" si="95"/>
        <v>0.73684210526315785</v>
      </c>
      <c r="Y132" s="69">
        <f t="shared" si="96"/>
        <v>0.14035087719298245</v>
      </c>
      <c r="Z132" s="69">
        <f t="shared" si="97"/>
        <v>1.4035087719298256</v>
      </c>
      <c r="AA132" s="69">
        <f t="shared" si="98"/>
        <v>8.771929824561403E-2</v>
      </c>
      <c r="AB132" s="69">
        <f t="shared" si="99"/>
        <v>0.9824561403508778</v>
      </c>
      <c r="AC132" s="69">
        <f t="shared" si="100"/>
        <v>0</v>
      </c>
      <c r="AD132" s="70">
        <f t="shared" si="101"/>
        <v>0.63157894736842102</v>
      </c>
      <c r="AE132" s="71">
        <f t="shared" si="102"/>
        <v>0.8</v>
      </c>
      <c r="AF132" s="71">
        <f t="shared" ca="1" si="103"/>
        <v>0.7</v>
      </c>
      <c r="AG132" s="72">
        <f t="shared" ca="1" si="104"/>
        <v>0.76666666666666661</v>
      </c>
      <c r="AH132" s="177">
        <f t="shared" si="105"/>
        <v>4.6140350877192997</v>
      </c>
      <c r="AI132" s="185">
        <f t="shared" ca="1" si="106"/>
        <v>35.374269005847964</v>
      </c>
      <c r="AJ132" s="179" t="str">
        <f t="shared" ca="1" si="63"/>
        <v>Q2</v>
      </c>
      <c r="AK132" s="90" t="s">
        <v>662</v>
      </c>
      <c r="AL132" s="101"/>
      <c r="AM132" s="269"/>
      <c r="AN132" s="103"/>
      <c r="AO132" s="103"/>
      <c r="AP132" s="108"/>
      <c r="AQ132" s="299"/>
      <c r="AR132" s="327"/>
      <c r="AS132" s="164"/>
      <c r="AT132" s="164"/>
      <c r="AU132" s="320"/>
      <c r="AV132" s="324"/>
      <c r="AW132" s="89"/>
    </row>
    <row r="133" spans="1:49" ht="36" customHeight="1">
      <c r="A133" s="5">
        <v>187</v>
      </c>
      <c r="B133" s="229">
        <v>129</v>
      </c>
      <c r="C133" s="6" t="s">
        <v>6</v>
      </c>
      <c r="D133" s="133" t="s">
        <v>384</v>
      </c>
      <c r="E133" s="7" t="s">
        <v>615</v>
      </c>
      <c r="F133" s="9" t="s">
        <v>140</v>
      </c>
      <c r="G133" s="8"/>
      <c r="H133" s="213">
        <v>280000</v>
      </c>
      <c r="I133" s="50">
        <v>3</v>
      </c>
      <c r="J133" s="56">
        <v>0.3</v>
      </c>
      <c r="K133" s="50"/>
      <c r="L133" s="57"/>
      <c r="M133" s="62">
        <v>6.0000000000000036</v>
      </c>
      <c r="N133" s="63">
        <v>8.0000000000000053</v>
      </c>
      <c r="O133" s="63">
        <v>1</v>
      </c>
      <c r="P133" s="63">
        <v>8.0000000000000053</v>
      </c>
      <c r="Q133" s="63">
        <v>4.0000000000000027</v>
      </c>
      <c r="R133" s="63">
        <v>6.0000000000000036</v>
      </c>
      <c r="S133" s="63">
        <v>0</v>
      </c>
      <c r="T133" s="64">
        <v>6.0000000000000036</v>
      </c>
      <c r="U133" s="67" t="e">
        <f t="shared" ca="1" si="92"/>
        <v>#DIV/0!</v>
      </c>
      <c r="V133" s="67">
        <f t="shared" ca="1" si="93"/>
        <v>0.3</v>
      </c>
      <c r="W133" s="69">
        <f t="shared" si="94"/>
        <v>0.94736842105263208</v>
      </c>
      <c r="X133" s="69">
        <f t="shared" si="95"/>
        <v>0.84210526315789525</v>
      </c>
      <c r="Y133" s="69">
        <f t="shared" si="96"/>
        <v>0.14035087719298245</v>
      </c>
      <c r="Z133" s="69">
        <f t="shared" si="97"/>
        <v>1.4035087719298256</v>
      </c>
      <c r="AA133" s="69">
        <f t="shared" si="98"/>
        <v>0.3508771929824564</v>
      </c>
      <c r="AB133" s="69">
        <f t="shared" si="99"/>
        <v>0.73684210526315841</v>
      </c>
      <c r="AC133" s="69">
        <f t="shared" si="100"/>
        <v>0</v>
      </c>
      <c r="AD133" s="70">
        <f t="shared" si="101"/>
        <v>0.63157894736842146</v>
      </c>
      <c r="AE133" s="71">
        <f t="shared" si="102"/>
        <v>0.7</v>
      </c>
      <c r="AF133" s="71">
        <f t="shared" ca="1" si="103"/>
        <v>0.7</v>
      </c>
      <c r="AG133" s="72">
        <f t="shared" ca="1" si="104"/>
        <v>0.69999999999999984</v>
      </c>
      <c r="AH133" s="177">
        <f t="shared" si="105"/>
        <v>5.0526315789473717</v>
      </c>
      <c r="AI133" s="185">
        <f t="shared" ca="1" si="106"/>
        <v>35.368421052631597</v>
      </c>
      <c r="AJ133" s="179" t="str">
        <f t="shared" ca="1" si="63"/>
        <v>Q4</v>
      </c>
      <c r="AK133" s="88" t="s">
        <v>329</v>
      </c>
      <c r="AL133" s="192"/>
      <c r="AM133" s="103"/>
      <c r="AN133" s="103"/>
      <c r="AO133" s="103"/>
      <c r="AP133" s="108"/>
      <c r="AQ133" s="299"/>
      <c r="AR133" s="295"/>
      <c r="AS133" s="164"/>
      <c r="AT133" s="164"/>
      <c r="AU133" s="320"/>
      <c r="AV133" s="324"/>
      <c r="AW133" s="89"/>
    </row>
    <row r="134" spans="1:49" ht="36" customHeight="1">
      <c r="A134" s="5">
        <v>224</v>
      </c>
      <c r="B134" s="229">
        <v>130</v>
      </c>
      <c r="C134" s="6" t="s">
        <v>6</v>
      </c>
      <c r="D134" s="133" t="s">
        <v>7</v>
      </c>
      <c r="E134" s="7" t="s">
        <v>172</v>
      </c>
      <c r="F134" s="9" t="s">
        <v>173</v>
      </c>
      <c r="G134" s="8"/>
      <c r="H134" s="213">
        <v>400000</v>
      </c>
      <c r="I134" s="50">
        <v>3</v>
      </c>
      <c r="J134" s="56">
        <v>0.3</v>
      </c>
      <c r="K134" s="50"/>
      <c r="L134" s="57"/>
      <c r="M134" s="62">
        <v>4</v>
      </c>
      <c r="N134" s="63">
        <v>6.0000000000000036</v>
      </c>
      <c r="O134" s="63">
        <v>6.0000000000000036</v>
      </c>
      <c r="P134" s="63">
        <v>4.0000000000000027</v>
      </c>
      <c r="Q134" s="63">
        <v>4</v>
      </c>
      <c r="R134" s="63">
        <v>6.0000000000000036</v>
      </c>
      <c r="S134" s="63">
        <v>5</v>
      </c>
      <c r="T134" s="64">
        <v>6.0000000000000036</v>
      </c>
      <c r="U134" s="67" t="e">
        <f t="shared" ca="1" si="92"/>
        <v>#DIV/0!</v>
      </c>
      <c r="V134" s="67">
        <f t="shared" ca="1" si="93"/>
        <v>0.3</v>
      </c>
      <c r="W134" s="69">
        <f t="shared" si="94"/>
        <v>0.63157894736842102</v>
      </c>
      <c r="X134" s="69">
        <f t="shared" si="95"/>
        <v>0.63157894736842146</v>
      </c>
      <c r="Y134" s="69">
        <f t="shared" si="96"/>
        <v>0.84210526315789525</v>
      </c>
      <c r="Z134" s="69">
        <f t="shared" si="97"/>
        <v>0.7017543859649128</v>
      </c>
      <c r="AA134" s="69">
        <f t="shared" si="98"/>
        <v>0.35087719298245612</v>
      </c>
      <c r="AB134" s="69">
        <f t="shared" si="99"/>
        <v>0.73684210526315841</v>
      </c>
      <c r="AC134" s="69">
        <f t="shared" si="100"/>
        <v>0.52631578947368418</v>
      </c>
      <c r="AD134" s="70">
        <f t="shared" si="101"/>
        <v>0.63157894736842146</v>
      </c>
      <c r="AE134" s="71">
        <f t="shared" si="102"/>
        <v>0.7</v>
      </c>
      <c r="AF134" s="71">
        <f t="shared" ca="1" si="103"/>
        <v>0.7</v>
      </c>
      <c r="AG134" s="72">
        <f t="shared" ca="1" si="104"/>
        <v>0.69999999999999984</v>
      </c>
      <c r="AH134" s="177">
        <f t="shared" si="105"/>
        <v>5.0526315789473699</v>
      </c>
      <c r="AI134" s="185">
        <f t="shared" ca="1" si="106"/>
        <v>35.368421052631582</v>
      </c>
      <c r="AJ134" s="179" t="str">
        <f t="shared" ca="1" si="63"/>
        <v>Q4</v>
      </c>
      <c r="AK134" s="88" t="s">
        <v>329</v>
      </c>
      <c r="AL134" s="193"/>
      <c r="AM134" s="103"/>
      <c r="AN134" s="103"/>
      <c r="AO134" s="103"/>
      <c r="AP134" s="108"/>
      <c r="AQ134" s="299"/>
      <c r="AR134" s="295"/>
      <c r="AS134" s="164"/>
      <c r="AT134" s="164"/>
      <c r="AU134" s="320"/>
      <c r="AV134" s="324"/>
      <c r="AW134" s="89"/>
    </row>
    <row r="135" spans="1:49" ht="36" customHeight="1">
      <c r="A135" s="5">
        <v>324</v>
      </c>
      <c r="B135" s="229">
        <v>131</v>
      </c>
      <c r="C135" s="6" t="s">
        <v>6</v>
      </c>
      <c r="D135" s="133" t="s">
        <v>7</v>
      </c>
      <c r="E135" s="7" t="s">
        <v>282</v>
      </c>
      <c r="F135" s="9" t="s">
        <v>283</v>
      </c>
      <c r="G135" s="8"/>
      <c r="H135" s="213">
        <v>415000</v>
      </c>
      <c r="I135" s="51">
        <v>3</v>
      </c>
      <c r="J135" s="56">
        <v>0.3</v>
      </c>
      <c r="K135" s="50"/>
      <c r="L135" s="57"/>
      <c r="M135" s="62">
        <v>5</v>
      </c>
      <c r="N135" s="63">
        <v>8</v>
      </c>
      <c r="O135" s="63">
        <v>4.0000000000000027</v>
      </c>
      <c r="P135" s="63">
        <v>6.0000000000000036</v>
      </c>
      <c r="Q135" s="63">
        <v>1</v>
      </c>
      <c r="R135" s="63">
        <v>8</v>
      </c>
      <c r="S135" s="63">
        <v>0</v>
      </c>
      <c r="T135" s="64">
        <v>7</v>
      </c>
      <c r="U135" s="67" t="e">
        <f t="shared" ca="1" si="92"/>
        <v>#DIV/0!</v>
      </c>
      <c r="V135" s="67">
        <f t="shared" ca="1" si="93"/>
        <v>0.3</v>
      </c>
      <c r="W135" s="69">
        <f t="shared" si="94"/>
        <v>0.78947368421052633</v>
      </c>
      <c r="X135" s="69">
        <f t="shared" si="95"/>
        <v>0.84210526315789469</v>
      </c>
      <c r="Y135" s="69">
        <f t="shared" si="96"/>
        <v>0.56140350877193024</v>
      </c>
      <c r="Z135" s="69">
        <f t="shared" si="97"/>
        <v>1.052631578947369</v>
      </c>
      <c r="AA135" s="69">
        <f t="shared" si="98"/>
        <v>8.771929824561403E-2</v>
      </c>
      <c r="AB135" s="69">
        <f t="shared" si="99"/>
        <v>0.98245614035087714</v>
      </c>
      <c r="AC135" s="69">
        <f t="shared" si="100"/>
        <v>0</v>
      </c>
      <c r="AD135" s="70">
        <f t="shared" si="101"/>
        <v>0.73684210526315785</v>
      </c>
      <c r="AE135" s="71">
        <f t="shared" si="102"/>
        <v>0.7</v>
      </c>
      <c r="AF135" s="71">
        <f t="shared" ca="1" si="103"/>
        <v>0.7</v>
      </c>
      <c r="AG135" s="72">
        <f t="shared" ca="1" si="104"/>
        <v>0.69999999999999984</v>
      </c>
      <c r="AH135" s="177">
        <f t="shared" si="105"/>
        <v>5.0526315789473681</v>
      </c>
      <c r="AI135" s="185">
        <f t="shared" ca="1" si="106"/>
        <v>35.368421052631568</v>
      </c>
      <c r="AJ135" s="179" t="str">
        <f t="shared" ca="1" si="63"/>
        <v>Q4</v>
      </c>
      <c r="AK135" s="90" t="s">
        <v>329</v>
      </c>
      <c r="AL135" s="194"/>
      <c r="AM135" s="107"/>
      <c r="AN135" s="103"/>
      <c r="AO135" s="103"/>
      <c r="AP135" s="108"/>
      <c r="AQ135" s="299"/>
      <c r="AR135" s="295"/>
      <c r="AS135" s="164"/>
      <c r="AT135" s="164"/>
      <c r="AU135" s="320"/>
      <c r="AV135" s="324"/>
      <c r="AW135" s="89"/>
    </row>
    <row r="136" spans="1:49" ht="36" customHeight="1">
      <c r="A136" s="5">
        <v>116</v>
      </c>
      <c r="B136" s="229">
        <v>132</v>
      </c>
      <c r="C136" s="14" t="s">
        <v>20</v>
      </c>
      <c r="D136" s="168" t="s">
        <v>7</v>
      </c>
      <c r="E136" s="7" t="s">
        <v>67</v>
      </c>
      <c r="F136" s="8" t="s">
        <v>68</v>
      </c>
      <c r="G136" s="17" t="s">
        <v>69</v>
      </c>
      <c r="H136" s="219">
        <v>500000</v>
      </c>
      <c r="I136" s="51">
        <v>3</v>
      </c>
      <c r="J136" s="56">
        <v>0.1</v>
      </c>
      <c r="K136" s="50"/>
      <c r="L136" s="57"/>
      <c r="M136" s="62">
        <v>6.0000000000000036</v>
      </c>
      <c r="N136" s="63">
        <v>4.0000000000000027</v>
      </c>
      <c r="O136" s="63">
        <v>4.0000000000000027</v>
      </c>
      <c r="P136" s="63">
        <v>6</v>
      </c>
      <c r="Q136" s="63">
        <v>6.0000000000000036</v>
      </c>
      <c r="R136" s="63">
        <v>2</v>
      </c>
      <c r="S136" s="63">
        <v>2</v>
      </c>
      <c r="T136" s="64">
        <v>6.0000000000000036</v>
      </c>
      <c r="U136" s="67" t="e">
        <f t="shared" ca="1" si="92"/>
        <v>#DIV/0!</v>
      </c>
      <c r="V136" s="67">
        <f t="shared" ca="1" si="93"/>
        <v>0.1</v>
      </c>
      <c r="W136" s="69">
        <f t="shared" si="94"/>
        <v>0.94736842105263208</v>
      </c>
      <c r="X136" s="69">
        <f t="shared" si="95"/>
        <v>0.42105263157894762</v>
      </c>
      <c r="Y136" s="69">
        <f t="shared" si="96"/>
        <v>0.56140350877193024</v>
      </c>
      <c r="Z136" s="69">
        <f t="shared" si="97"/>
        <v>1.0526315789473684</v>
      </c>
      <c r="AA136" s="69">
        <f t="shared" si="98"/>
        <v>0.52631578947368451</v>
      </c>
      <c r="AB136" s="69">
        <f t="shared" si="99"/>
        <v>0.24561403508771928</v>
      </c>
      <c r="AC136" s="69">
        <f t="shared" si="100"/>
        <v>0.21052631578947367</v>
      </c>
      <c r="AD136" s="70">
        <f t="shared" si="101"/>
        <v>0.63157894736842146</v>
      </c>
      <c r="AE136" s="71">
        <f t="shared" si="102"/>
        <v>0.7</v>
      </c>
      <c r="AF136" s="71">
        <f t="shared" ca="1" si="103"/>
        <v>0.9</v>
      </c>
      <c r="AG136" s="72">
        <f t="shared" ca="1" si="104"/>
        <v>0.76666666666666661</v>
      </c>
      <c r="AH136" s="177">
        <f t="shared" si="105"/>
        <v>4.5964912280701773</v>
      </c>
      <c r="AI136" s="185">
        <f t="shared" ca="1" si="106"/>
        <v>35.239766081871352</v>
      </c>
      <c r="AJ136" s="179" t="str">
        <f t="shared" ca="1" si="63"/>
        <v>Q2</v>
      </c>
      <c r="AK136" s="90" t="s">
        <v>338</v>
      </c>
      <c r="AL136" s="194"/>
      <c r="AM136" s="103"/>
      <c r="AN136" s="103"/>
      <c r="AO136" s="103"/>
      <c r="AP136" s="108"/>
      <c r="AQ136" s="299"/>
      <c r="AR136" s="295"/>
      <c r="AS136" s="164"/>
      <c r="AT136" s="164"/>
      <c r="AU136" s="320"/>
      <c r="AV136" s="324"/>
      <c r="AW136" s="89"/>
    </row>
    <row r="137" spans="1:49" ht="36" customHeight="1">
      <c r="A137" s="5">
        <v>143</v>
      </c>
      <c r="B137" s="229">
        <v>133</v>
      </c>
      <c r="C137" s="6" t="s">
        <v>20</v>
      </c>
      <c r="D137" s="133" t="s">
        <v>7</v>
      </c>
      <c r="E137" s="18" t="s">
        <v>93</v>
      </c>
      <c r="F137" s="20" t="s">
        <v>94</v>
      </c>
      <c r="G137" s="20" t="s">
        <v>95</v>
      </c>
      <c r="H137" s="215">
        <v>123000</v>
      </c>
      <c r="I137" s="51">
        <v>2</v>
      </c>
      <c r="J137" s="56">
        <v>0.2</v>
      </c>
      <c r="K137" s="50"/>
      <c r="L137" s="57"/>
      <c r="M137" s="62">
        <v>6.0000000000000036</v>
      </c>
      <c r="N137" s="63">
        <v>1</v>
      </c>
      <c r="O137" s="63">
        <v>6.0000000000000036</v>
      </c>
      <c r="P137" s="63">
        <v>6.0000000000000036</v>
      </c>
      <c r="Q137" s="63">
        <v>8.0000000000000053</v>
      </c>
      <c r="R137" s="63">
        <v>1</v>
      </c>
      <c r="S137" s="63">
        <v>0</v>
      </c>
      <c r="T137" s="64">
        <v>6.0000000000000036</v>
      </c>
      <c r="U137" s="67" t="e">
        <f t="shared" ca="1" si="92"/>
        <v>#DIV/0!</v>
      </c>
      <c r="V137" s="67">
        <f t="shared" ca="1" si="93"/>
        <v>0.2</v>
      </c>
      <c r="W137" s="69">
        <f t="shared" si="94"/>
        <v>0.94736842105263208</v>
      </c>
      <c r="X137" s="69">
        <f t="shared" si="95"/>
        <v>0.10526315789473684</v>
      </c>
      <c r="Y137" s="69">
        <f t="shared" si="96"/>
        <v>0.84210526315789525</v>
      </c>
      <c r="Z137" s="69">
        <f t="shared" si="97"/>
        <v>1.052631578947369</v>
      </c>
      <c r="AA137" s="69">
        <f t="shared" si="98"/>
        <v>0.7017543859649128</v>
      </c>
      <c r="AB137" s="69">
        <f t="shared" si="99"/>
        <v>0.12280701754385964</v>
      </c>
      <c r="AC137" s="69">
        <f t="shared" si="100"/>
        <v>0</v>
      </c>
      <c r="AD137" s="70">
        <f t="shared" si="101"/>
        <v>0.63157894736842146</v>
      </c>
      <c r="AE137" s="71">
        <f t="shared" si="102"/>
        <v>0.8</v>
      </c>
      <c r="AF137" s="71">
        <f t="shared" ca="1" si="103"/>
        <v>0.8</v>
      </c>
      <c r="AG137" s="72">
        <f t="shared" ca="1" si="104"/>
        <v>0.80000000000000016</v>
      </c>
      <c r="AH137" s="177">
        <f t="shared" si="105"/>
        <v>4.4035087719298271</v>
      </c>
      <c r="AI137" s="185">
        <f t="shared" ca="1" si="106"/>
        <v>35.228070175438624</v>
      </c>
      <c r="AJ137" s="179" t="str">
        <f t="shared" ca="1" si="63"/>
        <v>Q2</v>
      </c>
      <c r="AK137" s="90" t="s">
        <v>329</v>
      </c>
      <c r="AL137" s="194"/>
      <c r="AM137" s="103"/>
      <c r="AN137" s="103"/>
      <c r="AO137" s="103"/>
      <c r="AP137" s="108"/>
      <c r="AQ137" s="299"/>
      <c r="AR137" s="295"/>
      <c r="AS137" s="164"/>
      <c r="AT137" s="164"/>
      <c r="AU137" s="320"/>
      <c r="AV137" s="324"/>
      <c r="AW137" s="89"/>
    </row>
    <row r="138" spans="1:49" ht="36" customHeight="1">
      <c r="A138" s="5"/>
      <c r="B138" s="229">
        <v>134</v>
      </c>
      <c r="C138" s="6" t="s">
        <v>20</v>
      </c>
      <c r="D138" s="133" t="s">
        <v>385</v>
      </c>
      <c r="E138" s="21" t="s">
        <v>619</v>
      </c>
      <c r="F138" s="11" t="s">
        <v>626</v>
      </c>
      <c r="G138" s="20"/>
      <c r="H138" s="215">
        <v>160000</v>
      </c>
      <c r="I138" s="51">
        <v>4</v>
      </c>
      <c r="J138" s="56">
        <v>0.3</v>
      </c>
      <c r="K138" s="50"/>
      <c r="L138" s="57"/>
      <c r="M138" s="62">
        <v>6</v>
      </c>
      <c r="N138" s="63">
        <v>7</v>
      </c>
      <c r="O138" s="63">
        <v>6</v>
      </c>
      <c r="P138" s="63">
        <v>6</v>
      </c>
      <c r="Q138" s="63">
        <v>6</v>
      </c>
      <c r="R138" s="63">
        <v>5</v>
      </c>
      <c r="S138" s="63">
        <v>1</v>
      </c>
      <c r="T138" s="64">
        <v>7</v>
      </c>
      <c r="U138" s="67" t="e">
        <f t="shared" ca="1" si="92"/>
        <v>#DIV/0!</v>
      </c>
      <c r="V138" s="67">
        <f t="shared" ca="1" si="93"/>
        <v>0.3</v>
      </c>
      <c r="W138" s="69">
        <f t="shared" si="94"/>
        <v>0.94736842105263153</v>
      </c>
      <c r="X138" s="69">
        <f t="shared" si="95"/>
        <v>0.73684210526315785</v>
      </c>
      <c r="Y138" s="69">
        <f t="shared" si="96"/>
        <v>0.84210526315789469</v>
      </c>
      <c r="Z138" s="69">
        <f t="shared" si="97"/>
        <v>1.0526315789473684</v>
      </c>
      <c r="AA138" s="69">
        <f t="shared" si="98"/>
        <v>0.52631578947368418</v>
      </c>
      <c r="AB138" s="69">
        <f t="shared" si="99"/>
        <v>0.61403508771929827</v>
      </c>
      <c r="AC138" s="69">
        <f t="shared" si="100"/>
        <v>0.10526315789473684</v>
      </c>
      <c r="AD138" s="70">
        <f t="shared" si="101"/>
        <v>0.73684210526315785</v>
      </c>
      <c r="AE138" s="71">
        <f t="shared" si="102"/>
        <v>0.6</v>
      </c>
      <c r="AF138" s="71">
        <f t="shared" ca="1" si="103"/>
        <v>0.7</v>
      </c>
      <c r="AG138" s="72">
        <f t="shared" ca="1" si="104"/>
        <v>0.6333333333333333</v>
      </c>
      <c r="AH138" s="177">
        <f t="shared" si="105"/>
        <v>5.5614035087719289</v>
      </c>
      <c r="AI138" s="185">
        <f t="shared" ca="1" si="106"/>
        <v>35.222222222222214</v>
      </c>
      <c r="AJ138" s="179" t="str">
        <f t="shared" ca="1" si="63"/>
        <v>Q4</v>
      </c>
      <c r="AK138" s="90" t="s">
        <v>329</v>
      </c>
      <c r="AL138" s="194"/>
      <c r="AM138" s="103"/>
      <c r="AN138" s="103"/>
      <c r="AO138" s="103"/>
      <c r="AP138" s="108"/>
      <c r="AQ138" s="299"/>
      <c r="AR138" s="295"/>
      <c r="AS138" s="164"/>
      <c r="AT138" s="164"/>
      <c r="AU138" s="320"/>
      <c r="AV138" s="324"/>
      <c r="AW138" s="89"/>
    </row>
    <row r="139" spans="1:49" ht="36" customHeight="1">
      <c r="A139" s="5">
        <v>233</v>
      </c>
      <c r="B139" s="229">
        <v>135</v>
      </c>
      <c r="C139" s="6" t="s">
        <v>18</v>
      </c>
      <c r="D139" s="133" t="s">
        <v>7</v>
      </c>
      <c r="E139" s="12" t="s">
        <v>183</v>
      </c>
      <c r="F139" s="22" t="s">
        <v>561</v>
      </c>
      <c r="G139" s="116" t="s">
        <v>184</v>
      </c>
      <c r="H139" s="215">
        <v>5000000</v>
      </c>
      <c r="I139" s="51">
        <v>1</v>
      </c>
      <c r="J139" s="56">
        <v>0.1</v>
      </c>
      <c r="K139" s="50"/>
      <c r="L139" s="57"/>
      <c r="M139" s="62">
        <v>4.0000000000000027</v>
      </c>
      <c r="N139" s="63">
        <v>6.0000000000000036</v>
      </c>
      <c r="O139" s="63">
        <v>1</v>
      </c>
      <c r="P139" s="63">
        <v>6.0000000000000036</v>
      </c>
      <c r="Q139" s="63">
        <v>1</v>
      </c>
      <c r="R139" s="63">
        <v>6.0000000000000036</v>
      </c>
      <c r="S139" s="63">
        <v>0</v>
      </c>
      <c r="T139" s="64">
        <v>6.0000000000000036</v>
      </c>
      <c r="U139" s="67" t="e">
        <f t="shared" ca="1" si="92"/>
        <v>#DIV/0!</v>
      </c>
      <c r="V139" s="67">
        <f t="shared" ca="1" si="93"/>
        <v>0.1</v>
      </c>
      <c r="W139" s="69">
        <f t="shared" si="94"/>
        <v>0.63157894736842146</v>
      </c>
      <c r="X139" s="69">
        <f t="shared" si="95"/>
        <v>0.63157894736842146</v>
      </c>
      <c r="Y139" s="69">
        <f t="shared" si="96"/>
        <v>0.14035087719298245</v>
      </c>
      <c r="Z139" s="69">
        <f t="shared" si="97"/>
        <v>1.052631578947369</v>
      </c>
      <c r="AA139" s="69">
        <f t="shared" si="98"/>
        <v>8.771929824561403E-2</v>
      </c>
      <c r="AB139" s="69">
        <f t="shared" si="99"/>
        <v>0.73684210526315841</v>
      </c>
      <c r="AC139" s="69">
        <f t="shared" si="100"/>
        <v>0</v>
      </c>
      <c r="AD139" s="70">
        <f t="shared" si="101"/>
        <v>0.63157894736842146</v>
      </c>
      <c r="AE139" s="71">
        <f t="shared" si="102"/>
        <v>0.9</v>
      </c>
      <c r="AF139" s="71">
        <f t="shared" ca="1" si="103"/>
        <v>0.9</v>
      </c>
      <c r="AG139" s="72">
        <f t="shared" ca="1" si="104"/>
        <v>0.9</v>
      </c>
      <c r="AH139" s="177">
        <f t="shared" si="105"/>
        <v>3.9122807017543879</v>
      </c>
      <c r="AI139" s="185">
        <f t="shared" ca="1" si="106"/>
        <v>35.210526315789494</v>
      </c>
      <c r="AJ139" s="179" t="str">
        <f t="shared" ca="1" si="63"/>
        <v>Q2</v>
      </c>
      <c r="AK139" s="90" t="s">
        <v>338</v>
      </c>
      <c r="AL139" s="101"/>
      <c r="AM139" s="269"/>
      <c r="AN139" s="103"/>
      <c r="AO139" s="103"/>
      <c r="AP139" s="108"/>
      <c r="AQ139" s="299"/>
      <c r="AR139" s="165"/>
      <c r="AS139" s="164"/>
      <c r="AT139" s="164"/>
      <c r="AU139" s="320"/>
      <c r="AV139" s="324"/>
      <c r="AW139" s="89"/>
    </row>
    <row r="140" spans="1:49" ht="36" customHeight="1">
      <c r="A140" s="5">
        <v>318</v>
      </c>
      <c r="B140" s="229">
        <v>136</v>
      </c>
      <c r="C140" s="6" t="s">
        <v>6</v>
      </c>
      <c r="D140" s="133" t="s">
        <v>7</v>
      </c>
      <c r="E140" s="7" t="s">
        <v>539</v>
      </c>
      <c r="F140" s="9" t="s">
        <v>579</v>
      </c>
      <c r="G140" s="8"/>
      <c r="H140" s="213">
        <v>750000</v>
      </c>
      <c r="I140" s="50">
        <v>4</v>
      </c>
      <c r="J140" s="56">
        <v>0.4</v>
      </c>
      <c r="K140" s="50"/>
      <c r="L140" s="57"/>
      <c r="M140" s="62">
        <v>6.0000000000000036</v>
      </c>
      <c r="N140" s="63">
        <v>8.0000000000000053</v>
      </c>
      <c r="O140" s="63">
        <v>6.0000000000000036</v>
      </c>
      <c r="P140" s="63">
        <v>6.0000000000000036</v>
      </c>
      <c r="Q140" s="63">
        <v>2</v>
      </c>
      <c r="R140" s="63">
        <v>6.0000000000000036</v>
      </c>
      <c r="S140" s="63">
        <v>6</v>
      </c>
      <c r="T140" s="64">
        <v>6.0000000000000036</v>
      </c>
      <c r="U140" s="67" t="e">
        <f t="shared" ca="1" si="92"/>
        <v>#DIV/0!</v>
      </c>
      <c r="V140" s="67">
        <f t="shared" ca="1" si="93"/>
        <v>0.4</v>
      </c>
      <c r="W140" s="69">
        <f t="shared" si="94"/>
        <v>0.94736842105263208</v>
      </c>
      <c r="X140" s="69">
        <f t="shared" si="95"/>
        <v>0.84210526315789525</v>
      </c>
      <c r="Y140" s="69">
        <f t="shared" si="96"/>
        <v>0.84210526315789525</v>
      </c>
      <c r="Z140" s="69">
        <f t="shared" si="97"/>
        <v>1.052631578947369</v>
      </c>
      <c r="AA140" s="69">
        <f t="shared" si="98"/>
        <v>0.17543859649122806</v>
      </c>
      <c r="AB140" s="69">
        <f t="shared" si="99"/>
        <v>0.73684210526315841</v>
      </c>
      <c r="AC140" s="69">
        <f t="shared" si="100"/>
        <v>0.63157894736842102</v>
      </c>
      <c r="AD140" s="70">
        <f t="shared" si="101"/>
        <v>0.63157894736842146</v>
      </c>
      <c r="AE140" s="71">
        <f t="shared" si="102"/>
        <v>0.6</v>
      </c>
      <c r="AF140" s="71">
        <f t="shared" ca="1" si="103"/>
        <v>0.6</v>
      </c>
      <c r="AG140" s="72">
        <f t="shared" ca="1" si="104"/>
        <v>0.6</v>
      </c>
      <c r="AH140" s="177">
        <f t="shared" si="105"/>
        <v>5.8596491228070207</v>
      </c>
      <c r="AI140" s="185">
        <f t="shared" ca="1" si="106"/>
        <v>35.157894736842124</v>
      </c>
      <c r="AJ140" s="179" t="str">
        <f t="shared" ca="1" si="63"/>
        <v>Q4</v>
      </c>
      <c r="AK140" s="88" t="s">
        <v>329</v>
      </c>
      <c r="AL140" s="192"/>
      <c r="AM140" s="103"/>
      <c r="AN140" s="103"/>
      <c r="AO140" s="103"/>
      <c r="AP140" s="108"/>
      <c r="AQ140" s="299"/>
      <c r="AR140" s="295"/>
      <c r="AS140" s="164"/>
      <c r="AT140" s="164"/>
      <c r="AU140" s="320"/>
      <c r="AV140" s="324"/>
      <c r="AW140" s="89"/>
    </row>
    <row r="141" spans="1:49" ht="36" customHeight="1">
      <c r="A141" s="5">
        <v>188</v>
      </c>
      <c r="B141" s="229">
        <v>137</v>
      </c>
      <c r="C141" s="6" t="s">
        <v>6</v>
      </c>
      <c r="D141" s="133" t="s">
        <v>7</v>
      </c>
      <c r="E141" s="7" t="s">
        <v>141</v>
      </c>
      <c r="F141" s="9" t="s">
        <v>518</v>
      </c>
      <c r="G141" s="8"/>
      <c r="H141" s="213">
        <v>450000</v>
      </c>
      <c r="I141" s="50">
        <v>3</v>
      </c>
      <c r="J141" s="56">
        <v>0.3</v>
      </c>
      <c r="K141" s="50"/>
      <c r="L141" s="57"/>
      <c r="M141" s="62">
        <v>6.0000000000000036</v>
      </c>
      <c r="N141" s="63">
        <v>8</v>
      </c>
      <c r="O141" s="63">
        <v>4</v>
      </c>
      <c r="P141" s="63">
        <v>4.0000000000000027</v>
      </c>
      <c r="Q141" s="63">
        <v>6.0000000000000036</v>
      </c>
      <c r="R141" s="63">
        <v>4.0000000000000027</v>
      </c>
      <c r="S141" s="63">
        <v>3</v>
      </c>
      <c r="T141" s="64">
        <v>6.0000000000000036</v>
      </c>
      <c r="U141" s="67" t="e">
        <f t="shared" ca="1" si="92"/>
        <v>#DIV/0!</v>
      </c>
      <c r="V141" s="67">
        <f t="shared" ca="1" si="93"/>
        <v>0.3</v>
      </c>
      <c r="W141" s="69">
        <f t="shared" si="94"/>
        <v>0.94736842105263208</v>
      </c>
      <c r="X141" s="69">
        <f t="shared" si="95"/>
        <v>0.84210526315789469</v>
      </c>
      <c r="Y141" s="69">
        <f t="shared" si="96"/>
        <v>0.56140350877192979</v>
      </c>
      <c r="Z141" s="69">
        <f t="shared" si="97"/>
        <v>0.7017543859649128</v>
      </c>
      <c r="AA141" s="69">
        <f t="shared" si="98"/>
        <v>0.52631578947368451</v>
      </c>
      <c r="AB141" s="69">
        <f t="shared" si="99"/>
        <v>0.4912280701754389</v>
      </c>
      <c r="AC141" s="69">
        <f t="shared" si="100"/>
        <v>0.31578947368421051</v>
      </c>
      <c r="AD141" s="70">
        <f t="shared" si="101"/>
        <v>0.63157894736842146</v>
      </c>
      <c r="AE141" s="71">
        <f t="shared" si="102"/>
        <v>0.7</v>
      </c>
      <c r="AF141" s="71">
        <f t="shared" ca="1" si="103"/>
        <v>0.7</v>
      </c>
      <c r="AG141" s="72">
        <f t="shared" ca="1" si="104"/>
        <v>0.69999999999999984</v>
      </c>
      <c r="AH141" s="177">
        <f t="shared" si="105"/>
        <v>5.0175438596491242</v>
      </c>
      <c r="AI141" s="185">
        <f t="shared" ca="1" si="106"/>
        <v>35.122807017543863</v>
      </c>
      <c r="AJ141" s="179" t="str">
        <f t="shared" ca="1" si="63"/>
        <v>Q4</v>
      </c>
      <c r="AK141" s="88" t="s">
        <v>329</v>
      </c>
      <c r="AL141" s="193"/>
      <c r="AM141" s="103"/>
      <c r="AN141" s="103"/>
      <c r="AO141" s="103"/>
      <c r="AP141" s="108"/>
      <c r="AQ141" s="299"/>
      <c r="AR141" s="295"/>
      <c r="AS141" s="164"/>
      <c r="AT141" s="164"/>
      <c r="AU141" s="320"/>
      <c r="AV141" s="324"/>
      <c r="AW141" s="89"/>
    </row>
    <row r="142" spans="1:49" ht="36" customHeight="1">
      <c r="A142" s="5">
        <v>136</v>
      </c>
      <c r="B142" s="229">
        <v>138</v>
      </c>
      <c r="C142" s="6" t="s">
        <v>6</v>
      </c>
      <c r="D142" s="133" t="s">
        <v>7</v>
      </c>
      <c r="E142" s="281" t="s">
        <v>86</v>
      </c>
      <c r="F142" s="9" t="s">
        <v>474</v>
      </c>
      <c r="G142" s="8"/>
      <c r="H142" s="213">
        <v>250000</v>
      </c>
      <c r="I142" s="50">
        <v>3</v>
      </c>
      <c r="J142" s="56">
        <v>0.3</v>
      </c>
      <c r="K142" s="50"/>
      <c r="L142" s="57"/>
      <c r="M142" s="62">
        <v>6.0000000000000036</v>
      </c>
      <c r="N142" s="63">
        <v>8.0000000000000053</v>
      </c>
      <c r="O142" s="63">
        <v>4</v>
      </c>
      <c r="P142" s="63">
        <v>4</v>
      </c>
      <c r="Q142" s="63">
        <v>2</v>
      </c>
      <c r="R142" s="63">
        <v>6.0000000000000036</v>
      </c>
      <c r="S142" s="63">
        <v>4</v>
      </c>
      <c r="T142" s="64">
        <v>6.0000000000000036</v>
      </c>
      <c r="U142" s="67" t="e">
        <f t="shared" ca="1" si="92"/>
        <v>#DIV/0!</v>
      </c>
      <c r="V142" s="67">
        <f t="shared" ca="1" si="93"/>
        <v>0.3</v>
      </c>
      <c r="W142" s="69">
        <f t="shared" si="94"/>
        <v>0.94736842105263208</v>
      </c>
      <c r="X142" s="69">
        <f t="shared" si="95"/>
        <v>0.84210526315789525</v>
      </c>
      <c r="Y142" s="69">
        <f t="shared" si="96"/>
        <v>0.56140350877192979</v>
      </c>
      <c r="Z142" s="69">
        <f t="shared" si="97"/>
        <v>0.70175438596491224</v>
      </c>
      <c r="AA142" s="69">
        <f t="shared" si="98"/>
        <v>0.17543859649122806</v>
      </c>
      <c r="AB142" s="69">
        <f t="shared" si="99"/>
        <v>0.73684210526315841</v>
      </c>
      <c r="AC142" s="69">
        <f t="shared" si="100"/>
        <v>0.42105263157894735</v>
      </c>
      <c r="AD142" s="70">
        <f t="shared" si="101"/>
        <v>0.63157894736842146</v>
      </c>
      <c r="AE142" s="71">
        <f t="shared" si="102"/>
        <v>0.7</v>
      </c>
      <c r="AF142" s="71">
        <f t="shared" ca="1" si="103"/>
        <v>0.7</v>
      </c>
      <c r="AG142" s="72">
        <f t="shared" ca="1" si="104"/>
        <v>0.69999999999999984</v>
      </c>
      <c r="AH142" s="177">
        <f t="shared" si="105"/>
        <v>5.0175438596491251</v>
      </c>
      <c r="AI142" s="185">
        <f t="shared" ca="1" si="106"/>
        <v>35.122807017543863</v>
      </c>
      <c r="AJ142" s="179" t="str">
        <f t="shared" ca="1" si="63"/>
        <v>Q4</v>
      </c>
      <c r="AK142" s="88" t="s">
        <v>329</v>
      </c>
      <c r="AL142" s="193"/>
      <c r="AM142" s="103"/>
      <c r="AN142" s="103"/>
      <c r="AO142" s="103"/>
      <c r="AP142" s="108"/>
      <c r="AQ142" s="299"/>
      <c r="AR142" s="295"/>
      <c r="AS142" s="164"/>
      <c r="AT142" s="164"/>
      <c r="AU142" s="320"/>
      <c r="AV142" s="324"/>
      <c r="AW142" s="89"/>
    </row>
    <row r="143" spans="1:49" ht="36" customHeight="1">
      <c r="A143" s="5"/>
      <c r="B143" s="229">
        <v>139</v>
      </c>
      <c r="C143" s="6" t="s">
        <v>6</v>
      </c>
      <c r="D143" s="133" t="s">
        <v>7</v>
      </c>
      <c r="E143" s="18" t="s">
        <v>394</v>
      </c>
      <c r="F143" s="19" t="s">
        <v>584</v>
      </c>
      <c r="G143" s="20"/>
      <c r="H143" s="215">
        <v>150000</v>
      </c>
      <c r="I143" s="51">
        <v>3</v>
      </c>
      <c r="J143" s="56">
        <v>0.3</v>
      </c>
      <c r="K143" s="50"/>
      <c r="L143" s="57"/>
      <c r="M143" s="62">
        <v>3</v>
      </c>
      <c r="N143" s="63">
        <v>5</v>
      </c>
      <c r="O143" s="63">
        <v>10</v>
      </c>
      <c r="P143" s="63">
        <v>2</v>
      </c>
      <c r="Q143" s="63">
        <v>0</v>
      </c>
      <c r="R143" s="63">
        <v>3</v>
      </c>
      <c r="S143" s="63">
        <v>8</v>
      </c>
      <c r="T143" s="64">
        <v>10</v>
      </c>
      <c r="U143" s="67" t="e">
        <f t="shared" ca="1" si="92"/>
        <v>#DIV/0!</v>
      </c>
      <c r="V143" s="67">
        <f t="shared" ca="1" si="93"/>
        <v>0.3</v>
      </c>
      <c r="W143" s="69">
        <f t="shared" si="94"/>
        <v>0.47368421052631576</v>
      </c>
      <c r="X143" s="69">
        <f t="shared" si="95"/>
        <v>0.52631578947368418</v>
      </c>
      <c r="Y143" s="69">
        <f t="shared" si="96"/>
        <v>1.4035087719298245</v>
      </c>
      <c r="Z143" s="69">
        <f t="shared" si="97"/>
        <v>0.35087719298245612</v>
      </c>
      <c r="AA143" s="69">
        <f t="shared" si="98"/>
        <v>0</v>
      </c>
      <c r="AB143" s="69">
        <f t="shared" si="99"/>
        <v>0.36842105263157893</v>
      </c>
      <c r="AC143" s="69">
        <f t="shared" si="100"/>
        <v>0.84210526315789469</v>
      </c>
      <c r="AD143" s="70">
        <f t="shared" si="101"/>
        <v>1.0526315789473684</v>
      </c>
      <c r="AE143" s="71">
        <f t="shared" si="102"/>
        <v>0.7</v>
      </c>
      <c r="AF143" s="71">
        <f t="shared" ca="1" si="103"/>
        <v>0.7</v>
      </c>
      <c r="AG143" s="72">
        <f t="shared" ca="1" si="104"/>
        <v>0.69999999999999984</v>
      </c>
      <c r="AH143" s="177">
        <f t="shared" si="105"/>
        <v>5.0175438596491224</v>
      </c>
      <c r="AI143" s="185">
        <f t="shared" ca="1" si="106"/>
        <v>35.122807017543849</v>
      </c>
      <c r="AJ143" s="179" t="str">
        <f t="shared" ca="1" si="63"/>
        <v>Q4</v>
      </c>
      <c r="AK143" s="88" t="s">
        <v>329</v>
      </c>
      <c r="AL143" s="193"/>
      <c r="AM143" s="103"/>
      <c r="AN143" s="103"/>
      <c r="AO143" s="103"/>
      <c r="AP143" s="108"/>
      <c r="AQ143" s="299"/>
      <c r="AR143" s="295"/>
      <c r="AS143" s="164"/>
      <c r="AT143" s="164"/>
      <c r="AU143" s="320"/>
      <c r="AV143" s="324"/>
      <c r="AW143" s="89"/>
    </row>
    <row r="144" spans="1:49" ht="36" customHeight="1">
      <c r="A144" s="5">
        <v>228</v>
      </c>
      <c r="B144" s="229">
        <v>140</v>
      </c>
      <c r="C144" s="6" t="s">
        <v>18</v>
      </c>
      <c r="D144" s="133" t="s">
        <v>7</v>
      </c>
      <c r="E144" s="18" t="s">
        <v>174</v>
      </c>
      <c r="F144" s="20" t="s">
        <v>175</v>
      </c>
      <c r="G144" s="20" t="s">
        <v>176</v>
      </c>
      <c r="H144" s="216">
        <v>313500</v>
      </c>
      <c r="I144" s="51">
        <v>3</v>
      </c>
      <c r="J144" s="56">
        <v>0.1</v>
      </c>
      <c r="K144" s="50"/>
      <c r="L144" s="57"/>
      <c r="M144" s="62">
        <v>3</v>
      </c>
      <c r="N144" s="63">
        <v>6.0000000000000036</v>
      </c>
      <c r="O144" s="63">
        <v>4.0000000000000027</v>
      </c>
      <c r="P144" s="63">
        <v>6.0000000000000036</v>
      </c>
      <c r="Q144" s="63">
        <v>6.0000000000000036</v>
      </c>
      <c r="R144" s="63">
        <v>4.0000000000000027</v>
      </c>
      <c r="S144" s="63">
        <v>4</v>
      </c>
      <c r="T144" s="64">
        <v>4.0000000000000027</v>
      </c>
      <c r="U144" s="67" t="e">
        <f t="shared" ca="1" si="92"/>
        <v>#DIV/0!</v>
      </c>
      <c r="V144" s="67">
        <f t="shared" ca="1" si="93"/>
        <v>0.1</v>
      </c>
      <c r="W144" s="69">
        <f t="shared" si="94"/>
        <v>0.47368421052631576</v>
      </c>
      <c r="X144" s="69">
        <f t="shared" si="95"/>
        <v>0.63157894736842146</v>
      </c>
      <c r="Y144" s="69">
        <f t="shared" si="96"/>
        <v>0.56140350877193024</v>
      </c>
      <c r="Z144" s="69">
        <f t="shared" si="97"/>
        <v>1.052631578947369</v>
      </c>
      <c r="AA144" s="69">
        <f t="shared" si="98"/>
        <v>0.52631578947368451</v>
      </c>
      <c r="AB144" s="69">
        <f t="shared" si="99"/>
        <v>0.4912280701754389</v>
      </c>
      <c r="AC144" s="69">
        <f t="shared" si="100"/>
        <v>0.42105263157894735</v>
      </c>
      <c r="AD144" s="70">
        <f t="shared" si="101"/>
        <v>0.42105263157894762</v>
      </c>
      <c r="AE144" s="71">
        <f t="shared" si="102"/>
        <v>0.7</v>
      </c>
      <c r="AF144" s="71">
        <f t="shared" ca="1" si="103"/>
        <v>0.9</v>
      </c>
      <c r="AG144" s="72">
        <f t="shared" ca="1" si="104"/>
        <v>0.76666666666666661</v>
      </c>
      <c r="AH144" s="177">
        <f t="shared" si="105"/>
        <v>4.5789473684210549</v>
      </c>
      <c r="AI144" s="185">
        <f t="shared" ca="1" si="106"/>
        <v>35.105263157894754</v>
      </c>
      <c r="AJ144" s="179" t="str">
        <f t="shared" ca="1" si="63"/>
        <v>Q2</v>
      </c>
      <c r="AK144" s="90" t="s">
        <v>338</v>
      </c>
      <c r="AL144" s="194"/>
      <c r="AM144" s="103"/>
      <c r="AN144" s="103"/>
      <c r="AO144" s="103"/>
      <c r="AP144" s="108"/>
      <c r="AQ144" s="299"/>
      <c r="AR144" s="295"/>
      <c r="AS144" s="164"/>
      <c r="AT144" s="164"/>
      <c r="AU144" s="320"/>
      <c r="AV144" s="324"/>
      <c r="AW144" s="89"/>
    </row>
    <row r="145" spans="1:49" ht="36" customHeight="1">
      <c r="A145" s="5">
        <v>99</v>
      </c>
      <c r="B145" s="229">
        <v>141</v>
      </c>
      <c r="C145" s="6" t="s">
        <v>18</v>
      </c>
      <c r="D145" s="133" t="s">
        <v>383</v>
      </c>
      <c r="E145" s="12" t="s">
        <v>410</v>
      </c>
      <c r="F145" s="22" t="s">
        <v>527</v>
      </c>
      <c r="G145" s="102" t="s">
        <v>63</v>
      </c>
      <c r="H145" s="213">
        <v>220000</v>
      </c>
      <c r="I145" s="50">
        <v>3</v>
      </c>
      <c r="J145" s="56">
        <v>0.1</v>
      </c>
      <c r="K145" s="50"/>
      <c r="L145" s="57"/>
      <c r="M145" s="62">
        <v>4.0000000000000027</v>
      </c>
      <c r="N145" s="63">
        <v>8.0000000000000053</v>
      </c>
      <c r="O145" s="63">
        <v>2</v>
      </c>
      <c r="P145" s="63">
        <v>4</v>
      </c>
      <c r="Q145" s="63">
        <v>1</v>
      </c>
      <c r="R145" s="63">
        <v>8</v>
      </c>
      <c r="S145" s="63">
        <v>0</v>
      </c>
      <c r="T145" s="64">
        <v>10</v>
      </c>
      <c r="U145" s="67" t="e">
        <f t="shared" ca="1" si="92"/>
        <v>#DIV/0!</v>
      </c>
      <c r="V145" s="67">
        <f t="shared" ca="1" si="93"/>
        <v>0.1</v>
      </c>
      <c r="W145" s="69">
        <f t="shared" si="94"/>
        <v>0.63157894736842146</v>
      </c>
      <c r="X145" s="69">
        <f t="shared" si="95"/>
        <v>0.84210526315789525</v>
      </c>
      <c r="Y145" s="69">
        <f t="shared" si="96"/>
        <v>0.2807017543859649</v>
      </c>
      <c r="Z145" s="69">
        <f t="shared" si="97"/>
        <v>0.70175438596491224</v>
      </c>
      <c r="AA145" s="69">
        <f t="shared" si="98"/>
        <v>8.771929824561403E-2</v>
      </c>
      <c r="AB145" s="69">
        <f t="shared" si="99"/>
        <v>0.98245614035087714</v>
      </c>
      <c r="AC145" s="69">
        <f t="shared" si="100"/>
        <v>0</v>
      </c>
      <c r="AD145" s="70">
        <f t="shared" si="101"/>
        <v>1.0526315789473684</v>
      </c>
      <c r="AE145" s="71">
        <f t="shared" si="102"/>
        <v>0.7</v>
      </c>
      <c r="AF145" s="71">
        <f t="shared" ca="1" si="103"/>
        <v>0.9</v>
      </c>
      <c r="AG145" s="72">
        <f t="shared" ca="1" si="104"/>
        <v>0.76666666666666661</v>
      </c>
      <c r="AH145" s="177">
        <f t="shared" si="105"/>
        <v>4.5789473684210531</v>
      </c>
      <c r="AI145" s="185">
        <f t="shared" ca="1" si="106"/>
        <v>35.10526315789474</v>
      </c>
      <c r="AJ145" s="179" t="str">
        <f t="shared" ca="1" si="63"/>
        <v>Q2</v>
      </c>
      <c r="AK145" s="88" t="s">
        <v>329</v>
      </c>
      <c r="AL145" s="100"/>
      <c r="AM145" s="269"/>
      <c r="AN145" s="103"/>
      <c r="AO145" s="103"/>
      <c r="AP145" s="108"/>
      <c r="AQ145" s="299"/>
      <c r="AR145" s="165"/>
      <c r="AS145" s="164"/>
      <c r="AT145" s="164"/>
      <c r="AU145" s="320"/>
      <c r="AV145" s="324"/>
      <c r="AW145" s="89"/>
    </row>
    <row r="146" spans="1:49" ht="36" customHeight="1">
      <c r="A146" s="5">
        <v>289</v>
      </c>
      <c r="B146" s="229">
        <v>142</v>
      </c>
      <c r="C146" s="6" t="s">
        <v>18</v>
      </c>
      <c r="D146" s="133" t="s">
        <v>383</v>
      </c>
      <c r="E146" s="12" t="s">
        <v>411</v>
      </c>
      <c r="F146" s="22" t="s">
        <v>528</v>
      </c>
      <c r="G146" s="102" t="s">
        <v>63</v>
      </c>
      <c r="H146" s="213">
        <v>220000</v>
      </c>
      <c r="I146" s="50">
        <v>3</v>
      </c>
      <c r="J146" s="56">
        <v>0.1</v>
      </c>
      <c r="K146" s="50"/>
      <c r="L146" s="57"/>
      <c r="M146" s="62">
        <v>4</v>
      </c>
      <c r="N146" s="63">
        <v>8</v>
      </c>
      <c r="O146" s="63">
        <v>2</v>
      </c>
      <c r="P146" s="63">
        <v>4</v>
      </c>
      <c r="Q146" s="63">
        <v>1</v>
      </c>
      <c r="R146" s="63">
        <v>8</v>
      </c>
      <c r="S146" s="63">
        <v>0</v>
      </c>
      <c r="T146" s="64">
        <v>10</v>
      </c>
      <c r="U146" s="67" t="e">
        <f t="shared" ca="1" si="92"/>
        <v>#DIV/0!</v>
      </c>
      <c r="V146" s="67">
        <f t="shared" ca="1" si="93"/>
        <v>0.1</v>
      </c>
      <c r="W146" s="69">
        <f t="shared" si="94"/>
        <v>0.63157894736842102</v>
      </c>
      <c r="X146" s="69">
        <f t="shared" si="95"/>
        <v>0.84210526315789469</v>
      </c>
      <c r="Y146" s="69">
        <f t="shared" si="96"/>
        <v>0.2807017543859649</v>
      </c>
      <c r="Z146" s="69">
        <f t="shared" si="97"/>
        <v>0.70175438596491224</v>
      </c>
      <c r="AA146" s="69">
        <f t="shared" si="98"/>
        <v>8.771929824561403E-2</v>
      </c>
      <c r="AB146" s="69">
        <f t="shared" si="99"/>
        <v>0.98245614035087714</v>
      </c>
      <c r="AC146" s="69">
        <f t="shared" si="100"/>
        <v>0</v>
      </c>
      <c r="AD146" s="70">
        <f t="shared" si="101"/>
        <v>1.0526315789473684</v>
      </c>
      <c r="AE146" s="71">
        <f t="shared" si="102"/>
        <v>0.7</v>
      </c>
      <c r="AF146" s="71">
        <f t="shared" ca="1" si="103"/>
        <v>0.9</v>
      </c>
      <c r="AG146" s="72">
        <f t="shared" ca="1" si="104"/>
        <v>0.76666666666666661</v>
      </c>
      <c r="AH146" s="177">
        <f t="shared" si="105"/>
        <v>4.5789473684210522</v>
      </c>
      <c r="AI146" s="185">
        <f t="shared" ca="1" si="106"/>
        <v>35.105263157894733</v>
      </c>
      <c r="AJ146" s="179" t="str">
        <f t="shared" ca="1" si="63"/>
        <v>Q2</v>
      </c>
      <c r="AK146" s="88" t="s">
        <v>329</v>
      </c>
      <c r="AL146" s="100"/>
      <c r="AM146" s="268"/>
      <c r="AN146" s="103"/>
      <c r="AO146" s="103"/>
      <c r="AP146" s="108"/>
      <c r="AQ146" s="299"/>
      <c r="AR146" s="327"/>
      <c r="AS146" s="164"/>
      <c r="AT146" s="164"/>
      <c r="AU146" s="320"/>
      <c r="AV146" s="324"/>
      <c r="AW146" s="89"/>
    </row>
    <row r="147" spans="1:49" s="124" customFormat="1" ht="36" customHeight="1">
      <c r="A147" s="5">
        <v>32</v>
      </c>
      <c r="B147" s="229">
        <v>143</v>
      </c>
      <c r="C147" s="6" t="s">
        <v>14</v>
      </c>
      <c r="D147" s="134" t="s">
        <v>15</v>
      </c>
      <c r="E147" s="10" t="s">
        <v>417</v>
      </c>
      <c r="F147" s="16" t="s">
        <v>617</v>
      </c>
      <c r="G147" s="208" t="s">
        <v>16</v>
      </c>
      <c r="H147" s="216">
        <v>759000</v>
      </c>
      <c r="I147" s="52">
        <v>4</v>
      </c>
      <c r="J147" s="56">
        <v>0.6</v>
      </c>
      <c r="K147" s="50"/>
      <c r="L147" s="57"/>
      <c r="M147" s="62">
        <v>7</v>
      </c>
      <c r="N147" s="63">
        <v>7</v>
      </c>
      <c r="O147" s="63">
        <v>7</v>
      </c>
      <c r="P147" s="63">
        <v>8</v>
      </c>
      <c r="Q147" s="63">
        <v>6.0000000000000036</v>
      </c>
      <c r="R147" s="63">
        <v>8</v>
      </c>
      <c r="S147" s="63">
        <v>0</v>
      </c>
      <c r="T147" s="64">
        <v>8</v>
      </c>
      <c r="U147" s="67" t="e">
        <f t="shared" ca="1" si="92"/>
        <v>#DIV/0!</v>
      </c>
      <c r="V147" s="67">
        <f t="shared" ca="1" si="93"/>
        <v>0.6</v>
      </c>
      <c r="W147" s="69">
        <f t="shared" si="94"/>
        <v>1.1052631578947369</v>
      </c>
      <c r="X147" s="69">
        <f t="shared" si="95"/>
        <v>0.73684210526315785</v>
      </c>
      <c r="Y147" s="69">
        <f t="shared" si="96"/>
        <v>0.98245614035087714</v>
      </c>
      <c r="Z147" s="69">
        <f t="shared" si="97"/>
        <v>1.4035087719298245</v>
      </c>
      <c r="AA147" s="69">
        <f t="shared" si="98"/>
        <v>0.52631578947368451</v>
      </c>
      <c r="AB147" s="69">
        <f t="shared" si="99"/>
        <v>0.98245614035087714</v>
      </c>
      <c r="AC147" s="69">
        <f t="shared" si="100"/>
        <v>0</v>
      </c>
      <c r="AD147" s="70">
        <f t="shared" si="101"/>
        <v>0.84210526315789469</v>
      </c>
      <c r="AE147" s="71">
        <f t="shared" si="102"/>
        <v>0.6</v>
      </c>
      <c r="AF147" s="71">
        <f t="shared" ca="1" si="103"/>
        <v>0.4</v>
      </c>
      <c r="AG147" s="72">
        <f t="shared" ca="1" si="104"/>
        <v>0.53333333333333333</v>
      </c>
      <c r="AH147" s="177">
        <f t="shared" si="105"/>
        <v>6.5789473684210522</v>
      </c>
      <c r="AI147" s="185">
        <f t="shared" ca="1" si="106"/>
        <v>35.087719298245609</v>
      </c>
      <c r="AJ147" s="179" t="str">
        <f t="shared" ca="1" si="63"/>
        <v>Q3</v>
      </c>
      <c r="AK147" s="91" t="s">
        <v>342</v>
      </c>
      <c r="AL147" s="224"/>
      <c r="AM147" s="268"/>
      <c r="AN147" s="103"/>
      <c r="AO147" s="103"/>
      <c r="AP147" s="108"/>
      <c r="AQ147" s="299"/>
      <c r="AR147" s="327"/>
      <c r="AS147" s="164"/>
      <c r="AT147" s="164"/>
      <c r="AU147" s="320"/>
      <c r="AV147" s="324"/>
      <c r="AW147" s="89"/>
    </row>
    <row r="148" spans="1:49" ht="36" customHeight="1">
      <c r="A148" s="1">
        <v>126</v>
      </c>
      <c r="B148" s="229">
        <v>144</v>
      </c>
      <c r="C148" s="2" t="s">
        <v>18</v>
      </c>
      <c r="D148" s="132" t="s">
        <v>7</v>
      </c>
      <c r="E148" s="136" t="s">
        <v>74</v>
      </c>
      <c r="F148" s="137" t="s">
        <v>593</v>
      </c>
      <c r="G148" s="137" t="s">
        <v>75</v>
      </c>
      <c r="H148" s="214">
        <v>183500</v>
      </c>
      <c r="I148" s="142">
        <v>3</v>
      </c>
      <c r="J148" s="139">
        <v>0.3</v>
      </c>
      <c r="K148" s="138"/>
      <c r="L148" s="140"/>
      <c r="M148" s="62">
        <v>4.0000000000000027</v>
      </c>
      <c r="N148" s="63">
        <v>8.0000000000000053</v>
      </c>
      <c r="O148" s="63">
        <v>4</v>
      </c>
      <c r="P148" s="63">
        <v>6.0000000000000036</v>
      </c>
      <c r="Q148" s="63">
        <v>1</v>
      </c>
      <c r="R148" s="63">
        <v>8.0000000000000053</v>
      </c>
      <c r="S148" s="63">
        <v>0</v>
      </c>
      <c r="T148" s="64">
        <v>8.0000000000000053</v>
      </c>
      <c r="U148" s="141" t="e">
        <f t="shared" ca="1" si="92"/>
        <v>#DIV/0!</v>
      </c>
      <c r="V148" s="141">
        <f t="shared" ca="1" si="93"/>
        <v>0.3</v>
      </c>
      <c r="W148" s="69">
        <f t="shared" si="94"/>
        <v>0.63157894736842146</v>
      </c>
      <c r="X148" s="69">
        <f t="shared" si="95"/>
        <v>0.84210526315789525</v>
      </c>
      <c r="Y148" s="69">
        <f t="shared" si="96"/>
        <v>0.56140350877192979</v>
      </c>
      <c r="Z148" s="69">
        <f t="shared" si="97"/>
        <v>1.052631578947369</v>
      </c>
      <c r="AA148" s="69">
        <f t="shared" si="98"/>
        <v>8.771929824561403E-2</v>
      </c>
      <c r="AB148" s="69">
        <f t="shared" si="99"/>
        <v>0.9824561403508778</v>
      </c>
      <c r="AC148" s="69">
        <f t="shared" si="100"/>
        <v>0</v>
      </c>
      <c r="AD148" s="70">
        <f t="shared" si="101"/>
        <v>0.84210526315789525</v>
      </c>
      <c r="AE148" s="71">
        <f t="shared" si="102"/>
        <v>0.7</v>
      </c>
      <c r="AF148" s="71">
        <f t="shared" ca="1" si="103"/>
        <v>0.7</v>
      </c>
      <c r="AG148" s="72">
        <f t="shared" ca="1" si="104"/>
        <v>0.69999999999999984</v>
      </c>
      <c r="AH148" s="176">
        <f t="shared" si="105"/>
        <v>5.0000000000000027</v>
      </c>
      <c r="AI148" s="184">
        <f t="shared" ca="1" si="106"/>
        <v>35.000000000000007</v>
      </c>
      <c r="AJ148" s="179" t="str">
        <f t="shared" ca="1" si="63"/>
        <v>Q4</v>
      </c>
      <c r="AK148" s="135" t="s">
        <v>662</v>
      </c>
      <c r="AL148" s="195"/>
      <c r="AM148" s="103"/>
      <c r="AN148" s="103"/>
      <c r="AO148" s="103"/>
      <c r="AP148" s="108"/>
      <c r="AQ148" s="299"/>
      <c r="AR148" s="295"/>
      <c r="AS148" s="164"/>
      <c r="AT148" s="164"/>
      <c r="AU148" s="320"/>
      <c r="AV148" s="324"/>
      <c r="AW148" s="87"/>
    </row>
    <row r="149" spans="1:49" ht="36" customHeight="1">
      <c r="A149" s="5">
        <v>208</v>
      </c>
      <c r="B149" s="229">
        <v>145</v>
      </c>
      <c r="C149" s="6" t="s">
        <v>18</v>
      </c>
      <c r="D149" s="133" t="s">
        <v>7</v>
      </c>
      <c r="E149" s="18" t="s">
        <v>158</v>
      </c>
      <c r="F149" s="20" t="s">
        <v>564</v>
      </c>
      <c r="G149" s="20" t="s">
        <v>565</v>
      </c>
      <c r="H149" s="215">
        <v>209000</v>
      </c>
      <c r="I149" s="51">
        <v>3</v>
      </c>
      <c r="J149" s="56">
        <v>0.3</v>
      </c>
      <c r="K149" s="50"/>
      <c r="L149" s="57"/>
      <c r="M149" s="62">
        <v>4.0000000000000027</v>
      </c>
      <c r="N149" s="63">
        <v>8.0000000000000053</v>
      </c>
      <c r="O149" s="63">
        <v>4</v>
      </c>
      <c r="P149" s="63">
        <v>6.0000000000000036</v>
      </c>
      <c r="Q149" s="63">
        <v>1</v>
      </c>
      <c r="R149" s="63">
        <v>8.0000000000000053</v>
      </c>
      <c r="S149" s="63">
        <v>0</v>
      </c>
      <c r="T149" s="64">
        <v>8.0000000000000053</v>
      </c>
      <c r="U149" s="67" t="e">
        <f t="shared" ca="1" si="92"/>
        <v>#DIV/0!</v>
      </c>
      <c r="V149" s="67">
        <f t="shared" ca="1" si="93"/>
        <v>0.3</v>
      </c>
      <c r="W149" s="69">
        <f t="shared" si="94"/>
        <v>0.63157894736842146</v>
      </c>
      <c r="X149" s="69">
        <f t="shared" si="95"/>
        <v>0.84210526315789525</v>
      </c>
      <c r="Y149" s="69">
        <f t="shared" si="96"/>
        <v>0.56140350877192979</v>
      </c>
      <c r="Z149" s="69">
        <f t="shared" si="97"/>
        <v>1.052631578947369</v>
      </c>
      <c r="AA149" s="69">
        <f t="shared" si="98"/>
        <v>8.771929824561403E-2</v>
      </c>
      <c r="AB149" s="69">
        <f t="shared" si="99"/>
        <v>0.9824561403508778</v>
      </c>
      <c r="AC149" s="69">
        <f t="shared" si="100"/>
        <v>0</v>
      </c>
      <c r="AD149" s="70">
        <f t="shared" si="101"/>
        <v>0.84210526315789525</v>
      </c>
      <c r="AE149" s="71">
        <f t="shared" si="102"/>
        <v>0.7</v>
      </c>
      <c r="AF149" s="71">
        <f t="shared" ca="1" si="103"/>
        <v>0.7</v>
      </c>
      <c r="AG149" s="72">
        <f t="shared" ca="1" si="104"/>
        <v>0.69999999999999984</v>
      </c>
      <c r="AH149" s="177">
        <f t="shared" si="105"/>
        <v>5.0000000000000027</v>
      </c>
      <c r="AI149" s="185">
        <f t="shared" ca="1" si="106"/>
        <v>35.000000000000007</v>
      </c>
      <c r="AJ149" s="179" t="str">
        <f t="shared" ref="AJ149:AJ180" ca="1" si="107">IF(AG149&gt;$AG$2,IF(AH149&gt;$AH$2,"Q1","Q2"),IF(AH149&gt;$AH$2,"Q3","Q4"))</f>
        <v>Q4</v>
      </c>
      <c r="AK149" s="90" t="s">
        <v>329</v>
      </c>
      <c r="AL149" s="194"/>
      <c r="AM149" s="103"/>
      <c r="AN149" s="103"/>
      <c r="AO149" s="103"/>
      <c r="AP149" s="108"/>
      <c r="AQ149" s="299"/>
      <c r="AR149" s="295"/>
      <c r="AS149" s="164"/>
      <c r="AT149" s="164"/>
      <c r="AU149" s="320"/>
      <c r="AV149" s="324"/>
      <c r="AW149" s="89"/>
    </row>
    <row r="150" spans="1:49" ht="36" customHeight="1">
      <c r="A150" s="5">
        <v>376</v>
      </c>
      <c r="B150" s="229">
        <v>146</v>
      </c>
      <c r="C150" s="6" t="s">
        <v>6</v>
      </c>
      <c r="D150" s="133" t="s">
        <v>7</v>
      </c>
      <c r="E150" s="7" t="s">
        <v>320</v>
      </c>
      <c r="F150" s="9" t="s">
        <v>390</v>
      </c>
      <c r="G150" s="8"/>
      <c r="H150" s="213">
        <v>200000</v>
      </c>
      <c r="I150" s="50">
        <v>4</v>
      </c>
      <c r="J150" s="56">
        <v>0.3</v>
      </c>
      <c r="K150" s="50"/>
      <c r="L150" s="57"/>
      <c r="M150" s="62">
        <v>6.0000000000000036</v>
      </c>
      <c r="N150" s="63">
        <v>8.0000000000000053</v>
      </c>
      <c r="O150" s="63">
        <v>4.0000000000000027</v>
      </c>
      <c r="P150" s="63">
        <v>4.0000000000000027</v>
      </c>
      <c r="Q150" s="63">
        <v>4.0000000000000027</v>
      </c>
      <c r="R150" s="63">
        <v>6.0000000000000036</v>
      </c>
      <c r="S150" s="63">
        <v>5</v>
      </c>
      <c r="T150" s="64">
        <v>8</v>
      </c>
      <c r="U150" s="67" t="e">
        <f t="shared" ca="1" si="92"/>
        <v>#DIV/0!</v>
      </c>
      <c r="V150" s="67">
        <f t="shared" ca="1" si="93"/>
        <v>0.3</v>
      </c>
      <c r="W150" s="69">
        <f t="shared" si="94"/>
        <v>0.94736842105263208</v>
      </c>
      <c r="X150" s="69">
        <f t="shared" si="95"/>
        <v>0.84210526315789525</v>
      </c>
      <c r="Y150" s="69">
        <f t="shared" si="96"/>
        <v>0.56140350877193024</v>
      </c>
      <c r="Z150" s="69">
        <f t="shared" si="97"/>
        <v>0.7017543859649128</v>
      </c>
      <c r="AA150" s="69">
        <f t="shared" si="98"/>
        <v>0.3508771929824564</v>
      </c>
      <c r="AB150" s="69">
        <f t="shared" si="99"/>
        <v>0.73684210526315841</v>
      </c>
      <c r="AC150" s="69">
        <f t="shared" si="100"/>
        <v>0.52631578947368418</v>
      </c>
      <c r="AD150" s="70">
        <f t="shared" si="101"/>
        <v>0.84210526315789469</v>
      </c>
      <c r="AE150" s="71">
        <f t="shared" si="102"/>
        <v>0.6</v>
      </c>
      <c r="AF150" s="71">
        <f t="shared" ca="1" si="103"/>
        <v>0.7</v>
      </c>
      <c r="AG150" s="72">
        <f t="shared" ca="1" si="104"/>
        <v>0.6333333333333333</v>
      </c>
      <c r="AH150" s="177">
        <f t="shared" si="105"/>
        <v>5.5087719298245634</v>
      </c>
      <c r="AI150" s="185">
        <f t="shared" ca="1" si="106"/>
        <v>34.8888888888889</v>
      </c>
      <c r="AJ150" s="179" t="str">
        <f t="shared" ca="1" si="107"/>
        <v>Q4</v>
      </c>
      <c r="AK150" s="88" t="s">
        <v>329</v>
      </c>
      <c r="AL150" s="194"/>
      <c r="AM150" s="103"/>
      <c r="AN150" s="103"/>
      <c r="AO150" s="103"/>
      <c r="AP150" s="108"/>
      <c r="AQ150" s="299"/>
      <c r="AR150" s="295"/>
      <c r="AS150" s="164"/>
      <c r="AT150" s="164"/>
      <c r="AU150" s="320"/>
      <c r="AV150" s="324"/>
      <c r="AW150" s="89"/>
    </row>
    <row r="151" spans="1:49" ht="36" customHeight="1">
      <c r="A151" s="5"/>
      <c r="B151" s="229">
        <v>147</v>
      </c>
      <c r="C151" s="6" t="s">
        <v>6</v>
      </c>
      <c r="D151" s="133" t="s">
        <v>7</v>
      </c>
      <c r="E151" s="7" t="s">
        <v>397</v>
      </c>
      <c r="F151" s="19" t="s">
        <v>604</v>
      </c>
      <c r="G151" s="20"/>
      <c r="H151" s="213">
        <v>525000</v>
      </c>
      <c r="I151" s="51">
        <v>4</v>
      </c>
      <c r="J151" s="56">
        <v>0.3</v>
      </c>
      <c r="K151" s="50"/>
      <c r="L151" s="57"/>
      <c r="M151" s="62">
        <v>6</v>
      </c>
      <c r="N151" s="63">
        <v>8</v>
      </c>
      <c r="O151" s="63">
        <v>4</v>
      </c>
      <c r="P151" s="63">
        <v>4</v>
      </c>
      <c r="Q151" s="63">
        <v>4</v>
      </c>
      <c r="R151" s="63">
        <v>6</v>
      </c>
      <c r="S151" s="63">
        <v>7</v>
      </c>
      <c r="T151" s="64">
        <v>6</v>
      </c>
      <c r="U151" s="67" t="e">
        <f t="shared" ca="1" si="92"/>
        <v>#DIV/0!</v>
      </c>
      <c r="V151" s="67">
        <f t="shared" ca="1" si="93"/>
        <v>0.3</v>
      </c>
      <c r="W151" s="69">
        <f t="shared" si="94"/>
        <v>0.94736842105263153</v>
      </c>
      <c r="X151" s="69">
        <f t="shared" si="95"/>
        <v>0.84210526315789469</v>
      </c>
      <c r="Y151" s="69">
        <f t="shared" si="96"/>
        <v>0.56140350877192979</v>
      </c>
      <c r="Z151" s="69">
        <f t="shared" si="97"/>
        <v>0.70175438596491224</v>
      </c>
      <c r="AA151" s="69">
        <f t="shared" si="98"/>
        <v>0.35087719298245612</v>
      </c>
      <c r="AB151" s="69">
        <f t="shared" si="99"/>
        <v>0.73684210526315785</v>
      </c>
      <c r="AC151" s="69">
        <f t="shared" si="100"/>
        <v>0.73684210526315785</v>
      </c>
      <c r="AD151" s="70">
        <f t="shared" si="101"/>
        <v>0.63157894736842102</v>
      </c>
      <c r="AE151" s="71">
        <f t="shared" si="102"/>
        <v>0.6</v>
      </c>
      <c r="AF151" s="71">
        <f t="shared" ca="1" si="103"/>
        <v>0.7</v>
      </c>
      <c r="AG151" s="72">
        <f t="shared" ca="1" si="104"/>
        <v>0.6333333333333333</v>
      </c>
      <c r="AH151" s="177">
        <f t="shared" si="105"/>
        <v>5.5087719298245608</v>
      </c>
      <c r="AI151" s="185">
        <f t="shared" ca="1" si="106"/>
        <v>34.888888888888886</v>
      </c>
      <c r="AJ151" s="179" t="str">
        <f t="shared" ca="1" si="107"/>
        <v>Q4</v>
      </c>
      <c r="AK151" s="88" t="s">
        <v>329</v>
      </c>
      <c r="AL151" s="193"/>
      <c r="AM151" s="103"/>
      <c r="AN151" s="103"/>
      <c r="AO151" s="103"/>
      <c r="AP151" s="108"/>
      <c r="AQ151" s="299"/>
      <c r="AR151" s="295"/>
      <c r="AS151" s="164"/>
      <c r="AT151" s="164"/>
      <c r="AU151" s="320"/>
      <c r="AV151" s="324"/>
      <c r="AW151" s="89"/>
    </row>
    <row r="152" spans="1:49" s="124" customFormat="1" ht="36" customHeight="1">
      <c r="A152" s="5">
        <v>198</v>
      </c>
      <c r="B152" s="229">
        <v>148</v>
      </c>
      <c r="C152" s="6" t="s">
        <v>8</v>
      </c>
      <c r="D152" s="133" t="s">
        <v>7</v>
      </c>
      <c r="E152" s="18" t="s">
        <v>697</v>
      </c>
      <c r="F152" s="20" t="s">
        <v>403</v>
      </c>
      <c r="G152" s="20" t="s">
        <v>145</v>
      </c>
      <c r="H152" s="215">
        <v>324000</v>
      </c>
      <c r="I152" s="51">
        <v>3</v>
      </c>
      <c r="J152" s="56">
        <v>0.3</v>
      </c>
      <c r="K152" s="50"/>
      <c r="L152" s="57"/>
      <c r="M152" s="62">
        <v>6.0000000000000036</v>
      </c>
      <c r="N152" s="63">
        <v>6.0000000000000036</v>
      </c>
      <c r="O152" s="63">
        <v>4.0000000000000027</v>
      </c>
      <c r="P152" s="63">
        <v>8.0000000000000053</v>
      </c>
      <c r="Q152" s="63">
        <v>6.0000000000000036</v>
      </c>
      <c r="R152" s="63">
        <v>4.0000000000000027</v>
      </c>
      <c r="S152" s="63">
        <v>0</v>
      </c>
      <c r="T152" s="64">
        <v>4.0000000000000027</v>
      </c>
      <c r="U152" s="67" t="e">
        <f t="shared" ca="1" si="92"/>
        <v>#DIV/0!</v>
      </c>
      <c r="V152" s="67">
        <f t="shared" ca="1" si="93"/>
        <v>0.3</v>
      </c>
      <c r="W152" s="69">
        <f t="shared" si="94"/>
        <v>0.94736842105263208</v>
      </c>
      <c r="X152" s="69">
        <f t="shared" si="95"/>
        <v>0.63157894736842146</v>
      </c>
      <c r="Y152" s="69">
        <f t="shared" si="96"/>
        <v>0.56140350877193024</v>
      </c>
      <c r="Z152" s="69">
        <f t="shared" si="97"/>
        <v>1.4035087719298256</v>
      </c>
      <c r="AA152" s="69">
        <f t="shared" si="98"/>
        <v>0.52631578947368451</v>
      </c>
      <c r="AB152" s="69">
        <f t="shared" si="99"/>
        <v>0.4912280701754389</v>
      </c>
      <c r="AC152" s="69">
        <f t="shared" si="100"/>
        <v>0</v>
      </c>
      <c r="AD152" s="70">
        <f t="shared" si="101"/>
        <v>0.42105263157894762</v>
      </c>
      <c r="AE152" s="71">
        <f t="shared" si="102"/>
        <v>0.7</v>
      </c>
      <c r="AF152" s="71">
        <f t="shared" ca="1" si="103"/>
        <v>0.7</v>
      </c>
      <c r="AG152" s="72">
        <f t="shared" ca="1" si="104"/>
        <v>0.69999999999999984</v>
      </c>
      <c r="AH152" s="177">
        <f t="shared" si="105"/>
        <v>4.9824561403508802</v>
      </c>
      <c r="AI152" s="185">
        <f t="shared" ca="1" si="106"/>
        <v>34.877192982456158</v>
      </c>
      <c r="AJ152" s="179" t="str">
        <f t="shared" ca="1" si="107"/>
        <v>Q4</v>
      </c>
      <c r="AK152" s="90" t="s">
        <v>329</v>
      </c>
      <c r="AL152" s="194"/>
      <c r="AM152" s="103"/>
      <c r="AN152" s="103"/>
      <c r="AO152" s="103"/>
      <c r="AP152" s="108"/>
      <c r="AQ152" s="299"/>
      <c r="AR152" s="295"/>
      <c r="AS152" s="164"/>
      <c r="AT152" s="164"/>
      <c r="AU152" s="320"/>
      <c r="AV152" s="324"/>
      <c r="AW152" s="89"/>
    </row>
    <row r="153" spans="1:49" ht="36" customHeight="1">
      <c r="A153" s="1">
        <v>209</v>
      </c>
      <c r="B153" s="229">
        <v>149</v>
      </c>
      <c r="C153" s="2" t="s">
        <v>6</v>
      </c>
      <c r="D153" s="132" t="s">
        <v>7</v>
      </c>
      <c r="E153" s="3" t="s">
        <v>159</v>
      </c>
      <c r="F153" s="205" t="s">
        <v>475</v>
      </c>
      <c r="G153" s="4"/>
      <c r="H153" s="212">
        <v>250000</v>
      </c>
      <c r="I153" s="138">
        <v>3</v>
      </c>
      <c r="J153" s="139">
        <v>0.3</v>
      </c>
      <c r="K153" s="138"/>
      <c r="L153" s="140"/>
      <c r="M153" s="62">
        <v>5</v>
      </c>
      <c r="N153" s="63">
        <v>6.0000000000000036</v>
      </c>
      <c r="O153" s="63">
        <v>6.0000000000000036</v>
      </c>
      <c r="P153" s="63">
        <v>6.0000000000000036</v>
      </c>
      <c r="Q153" s="63">
        <v>0</v>
      </c>
      <c r="R153" s="63">
        <v>5</v>
      </c>
      <c r="S153" s="63">
        <v>4</v>
      </c>
      <c r="T153" s="64">
        <v>6.0000000000000036</v>
      </c>
      <c r="U153" s="141" t="e">
        <f t="shared" ca="1" si="92"/>
        <v>#DIV/0!</v>
      </c>
      <c r="V153" s="141">
        <f t="shared" ca="1" si="93"/>
        <v>0.3</v>
      </c>
      <c r="W153" s="69">
        <f t="shared" si="94"/>
        <v>0.78947368421052633</v>
      </c>
      <c r="X153" s="69">
        <f t="shared" si="95"/>
        <v>0.63157894736842146</v>
      </c>
      <c r="Y153" s="69">
        <f t="shared" si="96"/>
        <v>0.84210526315789525</v>
      </c>
      <c r="Z153" s="69">
        <f t="shared" si="97"/>
        <v>1.052631578947369</v>
      </c>
      <c r="AA153" s="69">
        <f t="shared" si="98"/>
        <v>0</v>
      </c>
      <c r="AB153" s="69">
        <f t="shared" si="99"/>
        <v>0.61403508771929827</v>
      </c>
      <c r="AC153" s="69">
        <f t="shared" si="100"/>
        <v>0.42105263157894735</v>
      </c>
      <c r="AD153" s="70">
        <f t="shared" si="101"/>
        <v>0.63157894736842146</v>
      </c>
      <c r="AE153" s="71">
        <f t="shared" si="102"/>
        <v>0.7</v>
      </c>
      <c r="AF153" s="71">
        <f t="shared" ca="1" si="103"/>
        <v>0.7</v>
      </c>
      <c r="AG153" s="72">
        <f t="shared" ca="1" si="104"/>
        <v>0.69999999999999984</v>
      </c>
      <c r="AH153" s="176">
        <f t="shared" si="105"/>
        <v>4.9824561403508785</v>
      </c>
      <c r="AI153" s="184">
        <f t="shared" ca="1" si="106"/>
        <v>34.877192982456144</v>
      </c>
      <c r="AJ153" s="179" t="str">
        <f t="shared" ca="1" si="107"/>
        <v>Q4</v>
      </c>
      <c r="AK153" s="86" t="s">
        <v>329</v>
      </c>
      <c r="AL153" s="193"/>
      <c r="AM153" s="103"/>
      <c r="AN153" s="103"/>
      <c r="AO153" s="103"/>
      <c r="AP153" s="108"/>
      <c r="AQ153" s="299"/>
      <c r="AR153" s="295"/>
      <c r="AS153" s="164"/>
      <c r="AT153" s="164"/>
      <c r="AU153" s="320"/>
      <c r="AV153" s="324"/>
      <c r="AW153" s="87"/>
    </row>
    <row r="154" spans="1:49" ht="36" customHeight="1">
      <c r="A154" s="5">
        <v>277</v>
      </c>
      <c r="B154" s="229">
        <v>150</v>
      </c>
      <c r="C154" s="6" t="s">
        <v>6</v>
      </c>
      <c r="D154" s="133" t="s">
        <v>7</v>
      </c>
      <c r="E154" s="7" t="s">
        <v>104</v>
      </c>
      <c r="F154" s="19" t="s">
        <v>230</v>
      </c>
      <c r="G154" s="20"/>
      <c r="H154" s="215">
        <v>300000</v>
      </c>
      <c r="I154" s="50">
        <v>3</v>
      </c>
      <c r="J154" s="56">
        <v>0.3</v>
      </c>
      <c r="K154" s="50"/>
      <c r="L154" s="57"/>
      <c r="M154" s="62">
        <v>4.0000000000000027</v>
      </c>
      <c r="N154" s="63">
        <v>6.0000000000000036</v>
      </c>
      <c r="O154" s="63">
        <v>4.0000000000000027</v>
      </c>
      <c r="P154" s="63">
        <v>4.0000000000000027</v>
      </c>
      <c r="Q154" s="63">
        <v>4.0000000000000027</v>
      </c>
      <c r="R154" s="63">
        <v>6.0000000000000036</v>
      </c>
      <c r="S154" s="63">
        <v>7</v>
      </c>
      <c r="T154" s="64">
        <v>6.0000000000000036</v>
      </c>
      <c r="U154" s="67" t="e">
        <f t="shared" ca="1" si="92"/>
        <v>#DIV/0!</v>
      </c>
      <c r="V154" s="67">
        <f t="shared" ca="1" si="93"/>
        <v>0.3</v>
      </c>
      <c r="W154" s="69">
        <f t="shared" si="94"/>
        <v>0.63157894736842146</v>
      </c>
      <c r="X154" s="69">
        <f t="shared" si="95"/>
        <v>0.63157894736842146</v>
      </c>
      <c r="Y154" s="69">
        <f t="shared" si="96"/>
        <v>0.56140350877193024</v>
      </c>
      <c r="Z154" s="69">
        <f t="shared" si="97"/>
        <v>0.7017543859649128</v>
      </c>
      <c r="AA154" s="69">
        <f t="shared" si="98"/>
        <v>0.3508771929824564</v>
      </c>
      <c r="AB154" s="69">
        <f t="shared" si="99"/>
        <v>0.73684210526315841</v>
      </c>
      <c r="AC154" s="69">
        <f t="shared" si="100"/>
        <v>0.73684210526315785</v>
      </c>
      <c r="AD154" s="70">
        <f t="shared" si="101"/>
        <v>0.63157894736842146</v>
      </c>
      <c r="AE154" s="71">
        <f t="shared" si="102"/>
        <v>0.7</v>
      </c>
      <c r="AF154" s="71">
        <f t="shared" ca="1" si="103"/>
        <v>0.7</v>
      </c>
      <c r="AG154" s="72">
        <f t="shared" ca="1" si="104"/>
        <v>0.69999999999999984</v>
      </c>
      <c r="AH154" s="177">
        <f t="shared" si="105"/>
        <v>4.9824561403508794</v>
      </c>
      <c r="AI154" s="185">
        <f t="shared" ca="1" si="106"/>
        <v>34.877192982456144</v>
      </c>
      <c r="AJ154" s="179" t="str">
        <f t="shared" ca="1" si="107"/>
        <v>Q4</v>
      </c>
      <c r="AK154" s="88" t="s">
        <v>329</v>
      </c>
      <c r="AL154" s="193"/>
      <c r="AM154" s="103"/>
      <c r="AN154" s="103"/>
      <c r="AO154" s="103"/>
      <c r="AP154" s="108"/>
      <c r="AQ154" s="299"/>
      <c r="AR154" s="295"/>
      <c r="AS154" s="164"/>
      <c r="AT154" s="164"/>
      <c r="AU154" s="320"/>
      <c r="AV154" s="324"/>
      <c r="AW154" s="89"/>
    </row>
    <row r="155" spans="1:49" ht="36" customHeight="1">
      <c r="A155" s="5"/>
      <c r="B155" s="229">
        <v>151</v>
      </c>
      <c r="C155" s="6" t="s">
        <v>6</v>
      </c>
      <c r="D155" s="133" t="s">
        <v>7</v>
      </c>
      <c r="E155" s="7" t="s">
        <v>49</v>
      </c>
      <c r="F155" s="8" t="s">
        <v>734</v>
      </c>
      <c r="G155" s="113"/>
      <c r="H155" s="215">
        <v>960000</v>
      </c>
      <c r="I155" s="51">
        <v>3</v>
      </c>
      <c r="J155" s="56">
        <v>0.3</v>
      </c>
      <c r="K155" s="50"/>
      <c r="L155" s="57"/>
      <c r="M155" s="62">
        <v>6</v>
      </c>
      <c r="N155" s="63">
        <v>8</v>
      </c>
      <c r="O155" s="63">
        <v>4</v>
      </c>
      <c r="P155" s="63">
        <v>4</v>
      </c>
      <c r="Q155" s="63">
        <v>4</v>
      </c>
      <c r="R155" s="63">
        <v>6</v>
      </c>
      <c r="S155" s="63">
        <v>1</v>
      </c>
      <c r="T155" s="64">
        <v>7</v>
      </c>
      <c r="U155" s="67" t="e">
        <f t="shared" ca="1" si="92"/>
        <v>#DIV/0!</v>
      </c>
      <c r="V155" s="67">
        <f t="shared" ca="1" si="93"/>
        <v>0.3</v>
      </c>
      <c r="W155" s="69">
        <f t="shared" si="94"/>
        <v>0.94736842105263153</v>
      </c>
      <c r="X155" s="69">
        <f t="shared" si="95"/>
        <v>0.84210526315789469</v>
      </c>
      <c r="Y155" s="69">
        <f t="shared" si="96"/>
        <v>0.56140350877192979</v>
      </c>
      <c r="Z155" s="69">
        <f t="shared" si="97"/>
        <v>0.70175438596491224</v>
      </c>
      <c r="AA155" s="69">
        <f t="shared" si="98"/>
        <v>0.35087719298245612</v>
      </c>
      <c r="AB155" s="69">
        <f t="shared" si="99"/>
        <v>0.73684210526315785</v>
      </c>
      <c r="AC155" s="69">
        <f t="shared" si="100"/>
        <v>0.10526315789473684</v>
      </c>
      <c r="AD155" s="70">
        <f t="shared" si="101"/>
        <v>0.73684210526315785</v>
      </c>
      <c r="AE155" s="71">
        <f t="shared" si="102"/>
        <v>0.7</v>
      </c>
      <c r="AF155" s="71">
        <f t="shared" ca="1" si="103"/>
        <v>0.7</v>
      </c>
      <c r="AG155" s="72">
        <f t="shared" ca="1" si="104"/>
        <v>0.69999999999999984</v>
      </c>
      <c r="AH155" s="177">
        <f t="shared" si="105"/>
        <v>4.9824561403508767</v>
      </c>
      <c r="AI155" s="185">
        <f t="shared" ca="1" si="106"/>
        <v>34.87719298245613</v>
      </c>
      <c r="AJ155" s="179" t="str">
        <f t="shared" ca="1" si="107"/>
        <v>Q4</v>
      </c>
      <c r="AK155" s="90" t="s">
        <v>329</v>
      </c>
      <c r="AL155" s="194"/>
      <c r="AM155" s="103"/>
      <c r="AN155" s="103"/>
      <c r="AO155" s="103"/>
      <c r="AP155" s="108"/>
      <c r="AQ155" s="299"/>
      <c r="AR155" s="295"/>
      <c r="AS155" s="164"/>
      <c r="AT155" s="164"/>
      <c r="AU155" s="320"/>
      <c r="AV155" s="324"/>
      <c r="AW155" s="89"/>
    </row>
    <row r="156" spans="1:49" ht="36" customHeight="1">
      <c r="A156" s="5">
        <v>134</v>
      </c>
      <c r="B156" s="229">
        <v>152</v>
      </c>
      <c r="C156" s="6" t="s">
        <v>42</v>
      </c>
      <c r="D156" s="133" t="s">
        <v>7</v>
      </c>
      <c r="E156" s="18" t="s">
        <v>83</v>
      </c>
      <c r="F156" s="20" t="s">
        <v>84</v>
      </c>
      <c r="G156" s="20" t="s">
        <v>85</v>
      </c>
      <c r="H156" s="216">
        <v>170000</v>
      </c>
      <c r="I156" s="51">
        <v>3</v>
      </c>
      <c r="J156" s="56">
        <v>0.2</v>
      </c>
      <c r="K156" s="50"/>
      <c r="L156" s="57"/>
      <c r="M156" s="62">
        <v>5.0000000000000027</v>
      </c>
      <c r="N156" s="63">
        <v>5.0000000000000027</v>
      </c>
      <c r="O156" s="63">
        <v>5.0000000000000027</v>
      </c>
      <c r="P156" s="63">
        <v>4.0000000000000027</v>
      </c>
      <c r="Q156" s="63">
        <v>4.0000000000000027</v>
      </c>
      <c r="R156" s="63">
        <v>6.0000000000000036</v>
      </c>
      <c r="S156" s="63">
        <v>3</v>
      </c>
      <c r="T156" s="64">
        <v>6.0000000000000036</v>
      </c>
      <c r="U156" s="67" t="e">
        <f t="shared" ca="1" si="92"/>
        <v>#DIV/0!</v>
      </c>
      <c r="V156" s="67">
        <f t="shared" ca="1" si="93"/>
        <v>0.2</v>
      </c>
      <c r="W156" s="69">
        <f t="shared" si="94"/>
        <v>0.78947368421052666</v>
      </c>
      <c r="X156" s="69">
        <f t="shared" si="95"/>
        <v>0.52631578947368451</v>
      </c>
      <c r="Y156" s="69">
        <f t="shared" si="96"/>
        <v>0.70175438596491269</v>
      </c>
      <c r="Z156" s="69">
        <f t="shared" si="97"/>
        <v>0.7017543859649128</v>
      </c>
      <c r="AA156" s="69">
        <f t="shared" si="98"/>
        <v>0.3508771929824564</v>
      </c>
      <c r="AB156" s="69">
        <f t="shared" si="99"/>
        <v>0.73684210526315841</v>
      </c>
      <c r="AC156" s="69">
        <f t="shared" si="100"/>
        <v>0.31578947368421051</v>
      </c>
      <c r="AD156" s="70">
        <f t="shared" si="101"/>
        <v>0.63157894736842146</v>
      </c>
      <c r="AE156" s="71">
        <f t="shared" si="102"/>
        <v>0.7</v>
      </c>
      <c r="AF156" s="71">
        <f t="shared" ca="1" si="103"/>
        <v>0.8</v>
      </c>
      <c r="AG156" s="72">
        <f t="shared" ca="1" si="104"/>
        <v>0.73333333333333339</v>
      </c>
      <c r="AH156" s="177">
        <f t="shared" si="105"/>
        <v>4.7543859649122826</v>
      </c>
      <c r="AI156" s="185">
        <f t="shared" ca="1" si="106"/>
        <v>34.865497076023409</v>
      </c>
      <c r="AJ156" s="179" t="str">
        <f t="shared" ca="1" si="107"/>
        <v>Q4</v>
      </c>
      <c r="AK156" s="90" t="s">
        <v>329</v>
      </c>
      <c r="AL156" s="194"/>
      <c r="AM156" s="103"/>
      <c r="AN156" s="103"/>
      <c r="AO156" s="103"/>
      <c r="AP156" s="108"/>
      <c r="AQ156" s="299"/>
      <c r="AR156" s="295"/>
      <c r="AS156" s="164"/>
      <c r="AT156" s="164"/>
      <c r="AU156" s="320"/>
      <c r="AV156" s="324"/>
      <c r="AW156" s="89"/>
    </row>
    <row r="157" spans="1:49" ht="36" customHeight="1">
      <c r="A157" s="5">
        <v>102</v>
      </c>
      <c r="B157" s="229">
        <v>153</v>
      </c>
      <c r="C157" s="6" t="s">
        <v>20</v>
      </c>
      <c r="D157" s="133" t="s">
        <v>385</v>
      </c>
      <c r="E157" s="21" t="s">
        <v>21</v>
      </c>
      <c r="F157" s="13" t="s">
        <v>627</v>
      </c>
      <c r="G157" s="114" t="s">
        <v>22</v>
      </c>
      <c r="H157" s="215">
        <v>172000</v>
      </c>
      <c r="I157" s="51">
        <v>4</v>
      </c>
      <c r="J157" s="56">
        <v>0.4</v>
      </c>
      <c r="K157" s="50"/>
      <c r="L157" s="57"/>
      <c r="M157" s="62">
        <v>7.0000000000000044</v>
      </c>
      <c r="N157" s="63">
        <v>7.0000000000000044</v>
      </c>
      <c r="O157" s="63">
        <v>6.0000000000000036</v>
      </c>
      <c r="P157" s="63">
        <v>5</v>
      </c>
      <c r="Q157" s="63">
        <v>5</v>
      </c>
      <c r="R157" s="63">
        <v>7</v>
      </c>
      <c r="S157" s="63">
        <v>1</v>
      </c>
      <c r="T157" s="64">
        <v>8.0000000000000053</v>
      </c>
      <c r="U157" s="67" t="e">
        <f t="shared" ca="1" si="92"/>
        <v>#DIV/0!</v>
      </c>
      <c r="V157" s="67">
        <f t="shared" ca="1" si="93"/>
        <v>0.4</v>
      </c>
      <c r="W157" s="69">
        <f t="shared" si="94"/>
        <v>1.1052631578947376</v>
      </c>
      <c r="X157" s="69">
        <f t="shared" si="95"/>
        <v>0.73684210526315841</v>
      </c>
      <c r="Y157" s="69">
        <f t="shared" si="96"/>
        <v>0.84210526315789525</v>
      </c>
      <c r="Z157" s="69">
        <f t="shared" si="97"/>
        <v>0.8771929824561403</v>
      </c>
      <c r="AA157" s="69">
        <f t="shared" si="98"/>
        <v>0.43859649122807015</v>
      </c>
      <c r="AB157" s="69">
        <f t="shared" si="99"/>
        <v>0.85964912280701755</v>
      </c>
      <c r="AC157" s="69">
        <f t="shared" si="100"/>
        <v>0.10526315789473684</v>
      </c>
      <c r="AD157" s="70">
        <f t="shared" si="101"/>
        <v>0.84210526315789525</v>
      </c>
      <c r="AE157" s="71">
        <f t="shared" si="102"/>
        <v>0.6</v>
      </c>
      <c r="AF157" s="71">
        <f t="shared" ca="1" si="103"/>
        <v>0.6</v>
      </c>
      <c r="AG157" s="72">
        <f t="shared" ca="1" si="104"/>
        <v>0.6</v>
      </c>
      <c r="AH157" s="177">
        <f t="shared" si="105"/>
        <v>5.8070175438596516</v>
      </c>
      <c r="AI157" s="185">
        <f t="shared" ca="1" si="106"/>
        <v>34.842105263157912</v>
      </c>
      <c r="AJ157" s="179" t="str">
        <f t="shared" ca="1" si="107"/>
        <v>Q4</v>
      </c>
      <c r="AK157" s="90" t="s">
        <v>329</v>
      </c>
      <c r="AL157" s="101"/>
      <c r="AM157" s="269"/>
      <c r="AN157" s="103"/>
      <c r="AO157" s="103"/>
      <c r="AP157" s="108"/>
      <c r="AQ157" s="299"/>
      <c r="AR157" s="165"/>
      <c r="AS157" s="164"/>
      <c r="AT157" s="164"/>
      <c r="AU157" s="320"/>
      <c r="AV157" s="324"/>
      <c r="AW157" s="89"/>
    </row>
    <row r="158" spans="1:49" ht="36" customHeight="1">
      <c r="A158" s="5">
        <v>139</v>
      </c>
      <c r="B158" s="229">
        <v>154</v>
      </c>
      <c r="C158" s="6" t="s">
        <v>20</v>
      </c>
      <c r="D158" s="133" t="s">
        <v>7</v>
      </c>
      <c r="E158" s="18" t="s">
        <v>89</v>
      </c>
      <c r="F158" s="20" t="s">
        <v>454</v>
      </c>
      <c r="G158" s="20" t="s">
        <v>90</v>
      </c>
      <c r="H158" s="215">
        <v>142000</v>
      </c>
      <c r="I158" s="51">
        <v>4</v>
      </c>
      <c r="J158" s="56">
        <v>0.4</v>
      </c>
      <c r="K158" s="50"/>
      <c r="L158" s="57"/>
      <c r="M158" s="62">
        <v>6</v>
      </c>
      <c r="N158" s="63">
        <v>6.0000000000000036</v>
      </c>
      <c r="O158" s="63">
        <v>6</v>
      </c>
      <c r="P158" s="63">
        <v>7</v>
      </c>
      <c r="Q158" s="63">
        <v>8.0000000000000053</v>
      </c>
      <c r="R158" s="63">
        <v>5.0000000000000027</v>
      </c>
      <c r="S158" s="63">
        <v>0</v>
      </c>
      <c r="T158" s="64">
        <v>8.0000000000000053</v>
      </c>
      <c r="U158" s="67" t="e">
        <f t="shared" ca="1" si="92"/>
        <v>#DIV/0!</v>
      </c>
      <c r="V158" s="67">
        <f t="shared" ca="1" si="93"/>
        <v>0.4</v>
      </c>
      <c r="W158" s="69">
        <f t="shared" si="94"/>
        <v>0.94736842105263153</v>
      </c>
      <c r="X158" s="69">
        <f t="shared" si="95"/>
        <v>0.63157894736842146</v>
      </c>
      <c r="Y158" s="69">
        <f t="shared" si="96"/>
        <v>0.84210526315789469</v>
      </c>
      <c r="Z158" s="69">
        <f t="shared" si="97"/>
        <v>1.2280701754385965</v>
      </c>
      <c r="AA158" s="69">
        <f t="shared" si="98"/>
        <v>0.7017543859649128</v>
      </c>
      <c r="AB158" s="69">
        <f t="shared" si="99"/>
        <v>0.6140350877192986</v>
      </c>
      <c r="AC158" s="69">
        <f t="shared" si="100"/>
        <v>0</v>
      </c>
      <c r="AD158" s="70">
        <f t="shared" si="101"/>
        <v>0.84210526315789525</v>
      </c>
      <c r="AE158" s="71">
        <f t="shared" si="102"/>
        <v>0.6</v>
      </c>
      <c r="AF158" s="71">
        <f t="shared" ca="1" si="103"/>
        <v>0.6</v>
      </c>
      <c r="AG158" s="72">
        <f t="shared" ca="1" si="104"/>
        <v>0.6</v>
      </c>
      <c r="AH158" s="177">
        <f t="shared" si="105"/>
        <v>5.8070175438596516</v>
      </c>
      <c r="AI158" s="185">
        <f t="shared" ca="1" si="106"/>
        <v>34.842105263157912</v>
      </c>
      <c r="AJ158" s="179" t="str">
        <f t="shared" ca="1" si="107"/>
        <v>Q4</v>
      </c>
      <c r="AK158" s="90" t="s">
        <v>329</v>
      </c>
      <c r="AL158" s="195"/>
      <c r="AM158" s="103"/>
      <c r="AN158" s="103"/>
      <c r="AO158" s="103"/>
      <c r="AP158" s="108"/>
      <c r="AQ158" s="299"/>
      <c r="AR158" s="295"/>
      <c r="AS158" s="164"/>
      <c r="AT158" s="164"/>
      <c r="AU158" s="320"/>
      <c r="AV158" s="324"/>
      <c r="AW158" s="89"/>
    </row>
    <row r="159" spans="1:49" ht="36" customHeight="1">
      <c r="A159" s="5">
        <v>250</v>
      </c>
      <c r="B159" s="229">
        <v>155</v>
      </c>
      <c r="C159" s="6" t="s">
        <v>8</v>
      </c>
      <c r="D159" s="133" t="s">
        <v>7</v>
      </c>
      <c r="E159" s="18" t="s">
        <v>202</v>
      </c>
      <c r="F159" s="20" t="s">
        <v>585</v>
      </c>
      <c r="G159" s="20"/>
      <c r="H159" s="215">
        <v>205000</v>
      </c>
      <c r="I159" s="51">
        <v>3</v>
      </c>
      <c r="J159" s="56">
        <v>0</v>
      </c>
      <c r="K159" s="50"/>
      <c r="L159" s="57"/>
      <c r="M159" s="62">
        <v>3</v>
      </c>
      <c r="N159" s="63">
        <v>4.0000000000000027</v>
      </c>
      <c r="O159" s="63">
        <v>5</v>
      </c>
      <c r="P159" s="63">
        <v>6.0000000000000036</v>
      </c>
      <c r="Q159" s="63">
        <v>4</v>
      </c>
      <c r="R159" s="63">
        <v>4.0000000000000027</v>
      </c>
      <c r="S159" s="63">
        <v>4</v>
      </c>
      <c r="T159" s="64">
        <v>4.0000000000000027</v>
      </c>
      <c r="U159" s="67" t="e">
        <f t="shared" ca="1" si="92"/>
        <v>#DIV/0!</v>
      </c>
      <c r="V159" s="67">
        <f t="shared" ca="1" si="93"/>
        <v>0</v>
      </c>
      <c r="W159" s="69">
        <f t="shared" si="94"/>
        <v>0.47368421052631576</v>
      </c>
      <c r="X159" s="69">
        <f t="shared" si="95"/>
        <v>0.42105263157894762</v>
      </c>
      <c r="Y159" s="69">
        <f t="shared" si="96"/>
        <v>0.70175438596491224</v>
      </c>
      <c r="Z159" s="69">
        <f t="shared" si="97"/>
        <v>1.052631578947369</v>
      </c>
      <c r="AA159" s="69">
        <f t="shared" si="98"/>
        <v>0.35087719298245612</v>
      </c>
      <c r="AB159" s="69">
        <f t="shared" si="99"/>
        <v>0.4912280701754389</v>
      </c>
      <c r="AC159" s="69">
        <f t="shared" si="100"/>
        <v>0.42105263157894735</v>
      </c>
      <c r="AD159" s="70">
        <f t="shared" si="101"/>
        <v>0.42105263157894762</v>
      </c>
      <c r="AE159" s="71">
        <f t="shared" si="102"/>
        <v>0.7</v>
      </c>
      <c r="AF159" s="71">
        <f t="shared" ca="1" si="103"/>
        <v>1</v>
      </c>
      <c r="AG159" s="72">
        <f t="shared" ca="1" si="104"/>
        <v>0.79999999999999993</v>
      </c>
      <c r="AH159" s="177">
        <f t="shared" si="105"/>
        <v>4.3333333333333348</v>
      </c>
      <c r="AI159" s="185">
        <f t="shared" ca="1" si="106"/>
        <v>34.666666666666679</v>
      </c>
      <c r="AJ159" s="179" t="str">
        <f t="shared" ca="1" si="107"/>
        <v>Q2</v>
      </c>
      <c r="AK159" s="90" t="s">
        <v>329</v>
      </c>
      <c r="AL159" s="194"/>
      <c r="AM159" s="103"/>
      <c r="AN159" s="103"/>
      <c r="AO159" s="103"/>
      <c r="AP159" s="108"/>
      <c r="AQ159" s="299"/>
      <c r="AR159" s="295"/>
      <c r="AS159" s="164"/>
      <c r="AT159" s="164"/>
      <c r="AU159" s="320"/>
      <c r="AV159" s="324"/>
      <c r="AW159" s="89"/>
    </row>
    <row r="160" spans="1:49" ht="36" customHeight="1">
      <c r="A160" s="5">
        <v>246</v>
      </c>
      <c r="B160" s="229">
        <v>156</v>
      </c>
      <c r="C160" s="6" t="s">
        <v>12</v>
      </c>
      <c r="D160" s="133" t="s">
        <v>7</v>
      </c>
      <c r="E160" s="12" t="s">
        <v>735</v>
      </c>
      <c r="F160" s="13" t="s">
        <v>460</v>
      </c>
      <c r="G160" s="106" t="s">
        <v>201</v>
      </c>
      <c r="H160" s="221">
        <v>7230000</v>
      </c>
      <c r="I160" s="51">
        <v>5</v>
      </c>
      <c r="J160" s="56">
        <v>0.5</v>
      </c>
      <c r="K160" s="50"/>
      <c r="L160" s="57"/>
      <c r="M160" s="62">
        <v>8.0000000000000053</v>
      </c>
      <c r="N160" s="63">
        <v>8.0000000000000053</v>
      </c>
      <c r="O160" s="63">
        <v>4</v>
      </c>
      <c r="P160" s="63">
        <v>9.9999999999999982</v>
      </c>
      <c r="Q160" s="63">
        <v>3</v>
      </c>
      <c r="R160" s="63">
        <v>8.0000000000000053</v>
      </c>
      <c r="S160" s="63">
        <v>4</v>
      </c>
      <c r="T160" s="64">
        <v>8.0000000000000053</v>
      </c>
      <c r="U160" s="67" t="e">
        <f t="shared" ca="1" si="92"/>
        <v>#DIV/0!</v>
      </c>
      <c r="V160" s="67">
        <f t="shared" ca="1" si="93"/>
        <v>0.5</v>
      </c>
      <c r="W160" s="69">
        <f t="shared" si="94"/>
        <v>1.2631578947368429</v>
      </c>
      <c r="X160" s="69">
        <f t="shared" si="95"/>
        <v>0.84210526315789525</v>
      </c>
      <c r="Y160" s="69">
        <f t="shared" si="96"/>
        <v>0.56140350877192979</v>
      </c>
      <c r="Z160" s="69">
        <f t="shared" si="97"/>
        <v>1.7543859649122804</v>
      </c>
      <c r="AA160" s="69">
        <f t="shared" si="98"/>
        <v>0.26315789473684209</v>
      </c>
      <c r="AB160" s="69">
        <f t="shared" si="99"/>
        <v>0.9824561403508778</v>
      </c>
      <c r="AC160" s="69">
        <f t="shared" si="100"/>
        <v>0.42105263157894735</v>
      </c>
      <c r="AD160" s="70">
        <f t="shared" si="101"/>
        <v>0.84210526315789525</v>
      </c>
      <c r="AE160" s="71">
        <f t="shared" si="102"/>
        <v>0.5</v>
      </c>
      <c r="AF160" s="71">
        <f t="shared" ca="1" si="103"/>
        <v>0.5</v>
      </c>
      <c r="AG160" s="72">
        <f t="shared" ca="1" si="104"/>
        <v>0.5</v>
      </c>
      <c r="AH160" s="177">
        <f t="shared" si="105"/>
        <v>6.9298245614035121</v>
      </c>
      <c r="AI160" s="185">
        <f t="shared" ca="1" si="106"/>
        <v>34.649122807017562</v>
      </c>
      <c r="AJ160" s="179" t="str">
        <f t="shared" ca="1" si="107"/>
        <v>Q3</v>
      </c>
      <c r="AK160" s="90" t="s">
        <v>329</v>
      </c>
      <c r="AL160" s="194"/>
      <c r="AM160" s="103"/>
      <c r="AN160" s="103"/>
      <c r="AO160" s="103"/>
      <c r="AP160" s="108"/>
      <c r="AQ160" s="299"/>
      <c r="AR160" s="295"/>
      <c r="AS160" s="164"/>
      <c r="AT160" s="164"/>
      <c r="AU160" s="320"/>
      <c r="AV160" s="324"/>
      <c r="AW160" s="89"/>
    </row>
    <row r="161" spans="1:49" ht="36" customHeight="1">
      <c r="A161" s="5">
        <v>56</v>
      </c>
      <c r="B161" s="229">
        <v>157</v>
      </c>
      <c r="C161" s="6" t="s">
        <v>6</v>
      </c>
      <c r="D161" s="133" t="s">
        <v>7</v>
      </c>
      <c r="E161" s="7" t="s">
        <v>34</v>
      </c>
      <c r="F161" s="11" t="s">
        <v>476</v>
      </c>
      <c r="G161" s="8"/>
      <c r="H161" s="213">
        <v>525000</v>
      </c>
      <c r="I161" s="50">
        <v>4</v>
      </c>
      <c r="J161" s="56">
        <v>0.2</v>
      </c>
      <c r="K161" s="50"/>
      <c r="L161" s="57"/>
      <c r="M161" s="62">
        <v>6.0000000000000036</v>
      </c>
      <c r="N161" s="63">
        <v>8.0000000000000053</v>
      </c>
      <c r="O161" s="63">
        <v>3</v>
      </c>
      <c r="P161" s="63">
        <v>4</v>
      </c>
      <c r="Q161" s="63">
        <v>2</v>
      </c>
      <c r="R161" s="63">
        <v>6.0000000000000036</v>
      </c>
      <c r="S161" s="63">
        <v>5</v>
      </c>
      <c r="T161" s="64">
        <v>8.0000000000000053</v>
      </c>
      <c r="U161" s="67" t="e">
        <f t="shared" ca="1" si="92"/>
        <v>#DIV/0!</v>
      </c>
      <c r="V161" s="67">
        <f t="shared" ca="1" si="93"/>
        <v>0.2</v>
      </c>
      <c r="W161" s="69">
        <f t="shared" si="94"/>
        <v>0.94736842105263208</v>
      </c>
      <c r="X161" s="69">
        <f t="shared" si="95"/>
        <v>0.84210526315789525</v>
      </c>
      <c r="Y161" s="69">
        <f t="shared" si="96"/>
        <v>0.42105263157894735</v>
      </c>
      <c r="Z161" s="69">
        <f t="shared" si="97"/>
        <v>0.70175438596491224</v>
      </c>
      <c r="AA161" s="69">
        <f t="shared" si="98"/>
        <v>0.17543859649122806</v>
      </c>
      <c r="AB161" s="69">
        <f t="shared" si="99"/>
        <v>0.73684210526315841</v>
      </c>
      <c r="AC161" s="69">
        <f t="shared" si="100"/>
        <v>0.52631578947368418</v>
      </c>
      <c r="AD161" s="70">
        <f t="shared" si="101"/>
        <v>0.84210526315789525</v>
      </c>
      <c r="AE161" s="71">
        <f t="shared" si="102"/>
        <v>0.6</v>
      </c>
      <c r="AF161" s="71">
        <f t="shared" ca="1" si="103"/>
        <v>0.8</v>
      </c>
      <c r="AG161" s="72">
        <f t="shared" ca="1" si="104"/>
        <v>0.66666666666666663</v>
      </c>
      <c r="AH161" s="177">
        <f t="shared" si="105"/>
        <v>5.1929824561403537</v>
      </c>
      <c r="AI161" s="185">
        <f t="shared" ca="1" si="106"/>
        <v>34.61988304093569</v>
      </c>
      <c r="AJ161" s="179" t="str">
        <f t="shared" ca="1" si="107"/>
        <v>Q4</v>
      </c>
      <c r="AK161" s="88" t="s">
        <v>329</v>
      </c>
      <c r="AL161" s="193"/>
      <c r="AM161" s="103"/>
      <c r="AN161" s="103"/>
      <c r="AO161" s="103"/>
      <c r="AP161" s="108"/>
      <c r="AQ161" s="299"/>
      <c r="AR161" s="295"/>
      <c r="AS161" s="164"/>
      <c r="AT161" s="164"/>
      <c r="AU161" s="320"/>
      <c r="AV161" s="324"/>
      <c r="AW161" s="89"/>
    </row>
    <row r="162" spans="1:49" ht="36" customHeight="1">
      <c r="A162" s="5">
        <v>217</v>
      </c>
      <c r="B162" s="229">
        <v>158</v>
      </c>
      <c r="C162" s="6" t="s">
        <v>18</v>
      </c>
      <c r="D162" s="133" t="s">
        <v>7</v>
      </c>
      <c r="E162" s="18" t="s">
        <v>164</v>
      </c>
      <c r="F162" s="20" t="s">
        <v>165</v>
      </c>
      <c r="G162" s="20" t="s">
        <v>166</v>
      </c>
      <c r="H162" s="215">
        <v>75000</v>
      </c>
      <c r="I162" s="51">
        <v>3</v>
      </c>
      <c r="J162" s="56">
        <v>0.4</v>
      </c>
      <c r="K162" s="50"/>
      <c r="L162" s="57"/>
      <c r="M162" s="62">
        <v>4.0000000000000027</v>
      </c>
      <c r="N162" s="63">
        <v>6.0000000000000036</v>
      </c>
      <c r="O162" s="63">
        <v>6.0000000000000036</v>
      </c>
      <c r="P162" s="63">
        <v>6.0000000000000036</v>
      </c>
      <c r="Q162" s="63">
        <v>4.0000000000000027</v>
      </c>
      <c r="R162" s="63">
        <v>6.0000000000000036</v>
      </c>
      <c r="S162" s="63">
        <v>3</v>
      </c>
      <c r="T162" s="64">
        <v>6.0000000000000036</v>
      </c>
      <c r="U162" s="67" t="e">
        <f t="shared" ca="1" si="92"/>
        <v>#DIV/0!</v>
      </c>
      <c r="V162" s="67">
        <f t="shared" ca="1" si="93"/>
        <v>0.4</v>
      </c>
      <c r="W162" s="69">
        <f t="shared" si="94"/>
        <v>0.63157894736842146</v>
      </c>
      <c r="X162" s="69">
        <f t="shared" si="95"/>
        <v>0.63157894736842146</v>
      </c>
      <c r="Y162" s="69">
        <f t="shared" si="96"/>
        <v>0.84210526315789525</v>
      </c>
      <c r="Z162" s="69">
        <f t="shared" si="97"/>
        <v>1.052631578947369</v>
      </c>
      <c r="AA162" s="69">
        <f t="shared" si="98"/>
        <v>0.3508771929824564</v>
      </c>
      <c r="AB162" s="69">
        <f t="shared" si="99"/>
        <v>0.73684210526315841</v>
      </c>
      <c r="AC162" s="69">
        <f t="shared" si="100"/>
        <v>0.31578947368421051</v>
      </c>
      <c r="AD162" s="70">
        <f t="shared" si="101"/>
        <v>0.63157894736842146</v>
      </c>
      <c r="AE162" s="71">
        <f t="shared" si="102"/>
        <v>0.7</v>
      </c>
      <c r="AF162" s="71">
        <f t="shared" ca="1" si="103"/>
        <v>0.6</v>
      </c>
      <c r="AG162" s="72">
        <f t="shared" ca="1" si="104"/>
        <v>0.66666666666666663</v>
      </c>
      <c r="AH162" s="177">
        <f t="shared" si="105"/>
        <v>5.1929824561403537</v>
      </c>
      <c r="AI162" s="185">
        <f t="shared" ca="1" si="106"/>
        <v>34.61988304093569</v>
      </c>
      <c r="AJ162" s="179" t="str">
        <f t="shared" ca="1" si="107"/>
        <v>Q4</v>
      </c>
      <c r="AK162" s="90" t="s">
        <v>329</v>
      </c>
      <c r="AL162" s="194"/>
      <c r="AM162" s="103"/>
      <c r="AN162" s="103"/>
      <c r="AO162" s="103"/>
      <c r="AP162" s="108"/>
      <c r="AQ162" s="299"/>
      <c r="AR162" s="295"/>
      <c r="AS162" s="164"/>
      <c r="AT162" s="164"/>
      <c r="AU162" s="320"/>
      <c r="AV162" s="324"/>
      <c r="AW162" s="89"/>
    </row>
    <row r="163" spans="1:49" s="124" customFormat="1" ht="36" customHeight="1">
      <c r="A163" s="5">
        <v>239</v>
      </c>
      <c r="B163" s="229">
        <v>159</v>
      </c>
      <c r="C163" s="14" t="s">
        <v>18</v>
      </c>
      <c r="D163" s="168" t="s">
        <v>7</v>
      </c>
      <c r="E163" s="7" t="s">
        <v>190</v>
      </c>
      <c r="F163" s="13" t="s">
        <v>191</v>
      </c>
      <c r="G163" s="102" t="s">
        <v>192</v>
      </c>
      <c r="H163" s="213">
        <v>1500000</v>
      </c>
      <c r="I163" s="51">
        <v>3</v>
      </c>
      <c r="J163" s="56">
        <v>0</v>
      </c>
      <c r="K163" s="50"/>
      <c r="L163" s="57"/>
      <c r="M163" s="62">
        <v>6.0000000000000036</v>
      </c>
      <c r="N163" s="63">
        <v>6.0000000000000036</v>
      </c>
      <c r="O163" s="63">
        <v>1</v>
      </c>
      <c r="P163" s="63">
        <v>6.0000000000000036</v>
      </c>
      <c r="Q163" s="63">
        <v>1</v>
      </c>
      <c r="R163" s="63">
        <v>5</v>
      </c>
      <c r="S163" s="63">
        <v>2</v>
      </c>
      <c r="T163" s="64">
        <v>6.0000000000000036</v>
      </c>
      <c r="U163" s="67" t="e">
        <f t="shared" ca="1" si="92"/>
        <v>#DIV/0!</v>
      </c>
      <c r="V163" s="67">
        <f t="shared" ca="1" si="93"/>
        <v>0</v>
      </c>
      <c r="W163" s="69">
        <f t="shared" si="94"/>
        <v>0.94736842105263208</v>
      </c>
      <c r="X163" s="69">
        <f t="shared" si="95"/>
        <v>0.63157894736842146</v>
      </c>
      <c r="Y163" s="69">
        <f t="shared" si="96"/>
        <v>0.14035087719298245</v>
      </c>
      <c r="Z163" s="69">
        <f t="shared" si="97"/>
        <v>1.052631578947369</v>
      </c>
      <c r="AA163" s="69">
        <f t="shared" si="98"/>
        <v>8.771929824561403E-2</v>
      </c>
      <c r="AB163" s="69">
        <f t="shared" si="99"/>
        <v>0.61403508771929827</v>
      </c>
      <c r="AC163" s="69">
        <f t="shared" si="100"/>
        <v>0.21052631578947367</v>
      </c>
      <c r="AD163" s="70">
        <f t="shared" si="101"/>
        <v>0.63157894736842146</v>
      </c>
      <c r="AE163" s="71">
        <f t="shared" si="102"/>
        <v>0.7</v>
      </c>
      <c r="AF163" s="71">
        <f t="shared" ca="1" si="103"/>
        <v>1</v>
      </c>
      <c r="AG163" s="72">
        <f t="shared" ca="1" si="104"/>
        <v>0.79999999999999993</v>
      </c>
      <c r="AH163" s="177">
        <f t="shared" si="105"/>
        <v>4.3157894736842124</v>
      </c>
      <c r="AI163" s="185">
        <f t="shared" ca="1" si="106"/>
        <v>34.526315789473699</v>
      </c>
      <c r="AJ163" s="179" t="str">
        <f t="shared" ca="1" si="107"/>
        <v>Q2</v>
      </c>
      <c r="AK163" s="90" t="s">
        <v>338</v>
      </c>
      <c r="AL163" s="194"/>
      <c r="AM163" s="103"/>
      <c r="AN163" s="103"/>
      <c r="AO163" s="103"/>
      <c r="AP163" s="108"/>
      <c r="AQ163" s="299"/>
      <c r="AR163" s="295"/>
      <c r="AS163" s="164"/>
      <c r="AT163" s="164"/>
      <c r="AU163" s="320"/>
      <c r="AV163" s="324"/>
      <c r="AW163" s="89"/>
    </row>
    <row r="164" spans="1:49" ht="36" customHeight="1">
      <c r="A164" s="1">
        <v>301</v>
      </c>
      <c r="B164" s="229">
        <v>160</v>
      </c>
      <c r="C164" s="2" t="s">
        <v>8</v>
      </c>
      <c r="D164" s="132" t="s">
        <v>7</v>
      </c>
      <c r="E164" s="136" t="s">
        <v>260</v>
      </c>
      <c r="F164" s="137" t="s">
        <v>608</v>
      </c>
      <c r="G164" s="137" t="s">
        <v>261</v>
      </c>
      <c r="H164" s="214">
        <v>108000</v>
      </c>
      <c r="I164" s="142">
        <v>2</v>
      </c>
      <c r="J164" s="139">
        <v>0.1</v>
      </c>
      <c r="K164" s="138"/>
      <c r="L164" s="140"/>
      <c r="M164" s="62">
        <v>2</v>
      </c>
      <c r="N164" s="63">
        <v>4</v>
      </c>
      <c r="O164" s="63">
        <v>2</v>
      </c>
      <c r="P164" s="63">
        <v>8.0000000000000053</v>
      </c>
      <c r="Q164" s="63">
        <v>8.0000000000000053</v>
      </c>
      <c r="R164" s="63">
        <v>4</v>
      </c>
      <c r="S164" s="63">
        <v>1</v>
      </c>
      <c r="T164" s="64">
        <v>4.0000000000000027</v>
      </c>
      <c r="U164" s="141" t="e">
        <f t="shared" ca="1" si="92"/>
        <v>#DIV/0!</v>
      </c>
      <c r="V164" s="141">
        <f t="shared" ca="1" si="93"/>
        <v>0.1</v>
      </c>
      <c r="W164" s="69">
        <f t="shared" si="94"/>
        <v>0.31578947368421051</v>
      </c>
      <c r="X164" s="69">
        <f t="shared" si="95"/>
        <v>0.42105263157894735</v>
      </c>
      <c r="Y164" s="69">
        <f t="shared" si="96"/>
        <v>0.2807017543859649</v>
      </c>
      <c r="Z164" s="69">
        <f t="shared" si="97"/>
        <v>1.4035087719298256</v>
      </c>
      <c r="AA164" s="69">
        <f t="shared" si="98"/>
        <v>0.7017543859649128</v>
      </c>
      <c r="AB164" s="69">
        <f t="shared" si="99"/>
        <v>0.49122807017543857</v>
      </c>
      <c r="AC164" s="69">
        <f t="shared" si="100"/>
        <v>0.10526315789473684</v>
      </c>
      <c r="AD164" s="70">
        <f t="shared" si="101"/>
        <v>0.42105263157894762</v>
      </c>
      <c r="AE164" s="71">
        <f t="shared" si="102"/>
        <v>0.8</v>
      </c>
      <c r="AF164" s="71">
        <f t="shared" ca="1" si="103"/>
        <v>0.9</v>
      </c>
      <c r="AG164" s="72">
        <f t="shared" ca="1" si="104"/>
        <v>0.83333333333333337</v>
      </c>
      <c r="AH164" s="176">
        <f t="shared" si="105"/>
        <v>4.1403508771929838</v>
      </c>
      <c r="AI164" s="184">
        <f t="shared" ca="1" si="106"/>
        <v>34.502923976608201</v>
      </c>
      <c r="AJ164" s="179" t="str">
        <f t="shared" ca="1" si="107"/>
        <v>Q2</v>
      </c>
      <c r="AK164" s="135" t="s">
        <v>329</v>
      </c>
      <c r="AL164" s="194"/>
      <c r="AM164" s="103"/>
      <c r="AN164" s="103"/>
      <c r="AO164" s="103"/>
      <c r="AP164" s="108"/>
      <c r="AQ164" s="299"/>
      <c r="AR164" s="295"/>
      <c r="AS164" s="164"/>
      <c r="AT164" s="164"/>
      <c r="AU164" s="320"/>
      <c r="AV164" s="324"/>
      <c r="AW164" s="87"/>
    </row>
    <row r="165" spans="1:49" ht="36" customHeight="1">
      <c r="A165" s="5">
        <v>245</v>
      </c>
      <c r="B165" s="229">
        <v>161</v>
      </c>
      <c r="C165" s="6" t="s">
        <v>12</v>
      </c>
      <c r="D165" s="133" t="s">
        <v>385</v>
      </c>
      <c r="E165" s="12" t="s">
        <v>763</v>
      </c>
      <c r="F165" s="13" t="s">
        <v>495</v>
      </c>
      <c r="G165" s="113" t="s">
        <v>24</v>
      </c>
      <c r="H165" s="215">
        <v>1000000</v>
      </c>
      <c r="I165" s="51">
        <v>5</v>
      </c>
      <c r="J165" s="56">
        <v>0.5</v>
      </c>
      <c r="K165" s="50"/>
      <c r="L165" s="57"/>
      <c r="M165" s="62">
        <v>8.0000000000000053</v>
      </c>
      <c r="N165" s="63">
        <v>8.0000000000000053</v>
      </c>
      <c r="O165" s="63">
        <v>6.0000000000000036</v>
      </c>
      <c r="P165" s="63">
        <v>9.9999999999999982</v>
      </c>
      <c r="Q165" s="63">
        <v>4.0000000000000027</v>
      </c>
      <c r="R165" s="63">
        <v>8.0000000000000053</v>
      </c>
      <c r="S165" s="63">
        <v>0</v>
      </c>
      <c r="T165" s="64">
        <v>8.0000000000000053</v>
      </c>
      <c r="U165" s="67" t="e">
        <f t="shared" ca="1" si="92"/>
        <v>#DIV/0!</v>
      </c>
      <c r="V165" s="67">
        <f t="shared" ca="1" si="93"/>
        <v>0.5</v>
      </c>
      <c r="W165" s="69">
        <f t="shared" si="94"/>
        <v>1.2631578947368429</v>
      </c>
      <c r="X165" s="69">
        <f t="shared" si="95"/>
        <v>0.84210526315789525</v>
      </c>
      <c r="Y165" s="69">
        <f t="shared" si="96"/>
        <v>0.84210526315789525</v>
      </c>
      <c r="Z165" s="69">
        <f t="shared" si="97"/>
        <v>1.7543859649122804</v>
      </c>
      <c r="AA165" s="69">
        <f t="shared" si="98"/>
        <v>0.3508771929824564</v>
      </c>
      <c r="AB165" s="69">
        <f t="shared" si="99"/>
        <v>0.9824561403508778</v>
      </c>
      <c r="AC165" s="69">
        <f t="shared" si="100"/>
        <v>0</v>
      </c>
      <c r="AD165" s="70">
        <f t="shared" si="101"/>
        <v>0.84210526315789525</v>
      </c>
      <c r="AE165" s="71">
        <f t="shared" si="102"/>
        <v>0.5</v>
      </c>
      <c r="AF165" s="71">
        <f t="shared" ca="1" si="103"/>
        <v>0.5</v>
      </c>
      <c r="AG165" s="72">
        <f t="shared" ca="1" si="104"/>
        <v>0.5</v>
      </c>
      <c r="AH165" s="177">
        <f t="shared" si="105"/>
        <v>6.8771929824561431</v>
      </c>
      <c r="AI165" s="185">
        <f t="shared" ca="1" si="106"/>
        <v>34.385964912280713</v>
      </c>
      <c r="AJ165" s="179" t="str">
        <f t="shared" ca="1" si="107"/>
        <v>Q3</v>
      </c>
      <c r="AK165" s="90" t="s">
        <v>329</v>
      </c>
      <c r="AL165" s="101"/>
      <c r="AM165" s="269"/>
      <c r="AN165" s="103"/>
      <c r="AO165" s="103"/>
      <c r="AP165" s="108"/>
      <c r="AQ165" s="299"/>
      <c r="AR165" s="165"/>
      <c r="AS165" s="164"/>
      <c r="AT165" s="164"/>
      <c r="AU165" s="320"/>
      <c r="AV165" s="324"/>
      <c r="AW165" s="89"/>
    </row>
    <row r="166" spans="1:49" ht="36" customHeight="1">
      <c r="A166" s="5">
        <v>235</v>
      </c>
      <c r="B166" s="229">
        <v>162</v>
      </c>
      <c r="C166" s="6" t="s">
        <v>42</v>
      </c>
      <c r="D166" s="133" t="s">
        <v>7</v>
      </c>
      <c r="E166" s="18" t="s">
        <v>185</v>
      </c>
      <c r="F166" s="20" t="s">
        <v>676</v>
      </c>
      <c r="G166" s="20" t="s">
        <v>186</v>
      </c>
      <c r="H166" s="215">
        <v>250500</v>
      </c>
      <c r="I166" s="51">
        <v>3</v>
      </c>
      <c r="J166" s="56">
        <v>0.3</v>
      </c>
      <c r="K166" s="50"/>
      <c r="L166" s="57"/>
      <c r="M166" s="62">
        <v>6.0000000000000036</v>
      </c>
      <c r="N166" s="63">
        <v>4.0000000000000027</v>
      </c>
      <c r="O166" s="63">
        <v>5</v>
      </c>
      <c r="P166" s="63">
        <v>4.0000000000000027</v>
      </c>
      <c r="Q166" s="63">
        <v>8.0000000000000053</v>
      </c>
      <c r="R166" s="63">
        <v>4.0000000000000027</v>
      </c>
      <c r="S166" s="63">
        <v>3</v>
      </c>
      <c r="T166" s="64">
        <v>6.0000000000000036</v>
      </c>
      <c r="U166" s="67" t="e">
        <f t="shared" ca="1" si="92"/>
        <v>#DIV/0!</v>
      </c>
      <c r="V166" s="67">
        <f t="shared" ca="1" si="93"/>
        <v>0.3</v>
      </c>
      <c r="W166" s="69">
        <f t="shared" si="94"/>
        <v>0.94736842105263208</v>
      </c>
      <c r="X166" s="69">
        <f t="shared" si="95"/>
        <v>0.42105263157894762</v>
      </c>
      <c r="Y166" s="69">
        <f t="shared" si="96"/>
        <v>0.70175438596491224</v>
      </c>
      <c r="Z166" s="69">
        <f t="shared" si="97"/>
        <v>0.7017543859649128</v>
      </c>
      <c r="AA166" s="69">
        <f t="shared" si="98"/>
        <v>0.7017543859649128</v>
      </c>
      <c r="AB166" s="69">
        <f t="shared" si="99"/>
        <v>0.4912280701754389</v>
      </c>
      <c r="AC166" s="69">
        <f t="shared" si="100"/>
        <v>0.31578947368421051</v>
      </c>
      <c r="AD166" s="70">
        <f t="shared" si="101"/>
        <v>0.63157894736842146</v>
      </c>
      <c r="AE166" s="71">
        <f t="shared" si="102"/>
        <v>0.7</v>
      </c>
      <c r="AF166" s="71">
        <f t="shared" ca="1" si="103"/>
        <v>0.7</v>
      </c>
      <c r="AG166" s="72">
        <f t="shared" ca="1" si="104"/>
        <v>0.69999999999999984</v>
      </c>
      <c r="AH166" s="177">
        <f t="shared" si="105"/>
        <v>4.9122807017543879</v>
      </c>
      <c r="AI166" s="185">
        <f t="shared" ca="1" si="106"/>
        <v>34.385964912280706</v>
      </c>
      <c r="AJ166" s="179" t="str">
        <f t="shared" ca="1" si="107"/>
        <v>Q4</v>
      </c>
      <c r="AK166" s="90" t="s">
        <v>338</v>
      </c>
      <c r="AL166" s="195"/>
      <c r="AM166" s="103"/>
      <c r="AN166" s="103"/>
      <c r="AO166" s="103"/>
      <c r="AP166" s="108"/>
      <c r="AQ166" s="299"/>
      <c r="AR166" s="295"/>
      <c r="AS166" s="164"/>
      <c r="AT166" s="164"/>
      <c r="AU166" s="320"/>
      <c r="AV166" s="324"/>
      <c r="AW166" s="89"/>
    </row>
    <row r="167" spans="1:49" ht="36" customHeight="1">
      <c r="A167" s="5">
        <v>97</v>
      </c>
      <c r="B167" s="229">
        <v>163</v>
      </c>
      <c r="C167" s="6" t="s">
        <v>12</v>
      </c>
      <c r="D167" s="133" t="s">
        <v>7</v>
      </c>
      <c r="E167" s="18" t="s">
        <v>736</v>
      </c>
      <c r="F167" s="19" t="s">
        <v>61</v>
      </c>
      <c r="G167" s="20" t="s">
        <v>62</v>
      </c>
      <c r="H167" s="215">
        <v>166000</v>
      </c>
      <c r="I167" s="51">
        <v>3</v>
      </c>
      <c r="J167" s="56">
        <v>0.2</v>
      </c>
      <c r="K167" s="50"/>
      <c r="L167" s="57"/>
      <c r="M167" s="62">
        <v>7</v>
      </c>
      <c r="N167" s="63">
        <v>1</v>
      </c>
      <c r="O167" s="63">
        <v>4.0000000000000027</v>
      </c>
      <c r="P167" s="63">
        <v>4.0000000000000027</v>
      </c>
      <c r="Q167" s="63">
        <v>6.0000000000000036</v>
      </c>
      <c r="R167" s="63">
        <v>6.0000000000000036</v>
      </c>
      <c r="S167" s="63">
        <v>1</v>
      </c>
      <c r="T167" s="64">
        <v>8.0000000000000053</v>
      </c>
      <c r="U167" s="67" t="e">
        <f t="shared" ca="1" si="92"/>
        <v>#DIV/0!</v>
      </c>
      <c r="V167" s="67">
        <f t="shared" ca="1" si="93"/>
        <v>0.2</v>
      </c>
      <c r="W167" s="69">
        <f t="shared" si="94"/>
        <v>1.1052631578947369</v>
      </c>
      <c r="X167" s="69">
        <f t="shared" si="95"/>
        <v>0.10526315789473684</v>
      </c>
      <c r="Y167" s="69">
        <f t="shared" si="96"/>
        <v>0.56140350877193024</v>
      </c>
      <c r="Z167" s="69">
        <f t="shared" si="97"/>
        <v>0.7017543859649128</v>
      </c>
      <c r="AA167" s="69">
        <f t="shared" si="98"/>
        <v>0.52631578947368451</v>
      </c>
      <c r="AB167" s="69">
        <f t="shared" si="99"/>
        <v>0.73684210526315841</v>
      </c>
      <c r="AC167" s="69">
        <f t="shared" si="100"/>
        <v>0.10526315789473684</v>
      </c>
      <c r="AD167" s="70">
        <f t="shared" si="101"/>
        <v>0.84210526315789525</v>
      </c>
      <c r="AE167" s="71">
        <f t="shared" si="102"/>
        <v>0.7</v>
      </c>
      <c r="AF167" s="71">
        <f t="shared" ca="1" si="103"/>
        <v>0.8</v>
      </c>
      <c r="AG167" s="72">
        <f t="shared" ca="1" si="104"/>
        <v>0.73333333333333339</v>
      </c>
      <c r="AH167" s="177">
        <f t="shared" si="105"/>
        <v>4.684210526315792</v>
      </c>
      <c r="AI167" s="185">
        <f t="shared" ca="1" si="106"/>
        <v>34.35087719298248</v>
      </c>
      <c r="AJ167" s="179" t="str">
        <f t="shared" ca="1" si="107"/>
        <v>Q4</v>
      </c>
      <c r="AK167" s="90" t="s">
        <v>329</v>
      </c>
      <c r="AL167" s="194"/>
      <c r="AM167" s="103"/>
      <c r="AN167" s="103"/>
      <c r="AO167" s="103"/>
      <c r="AP167" s="108"/>
      <c r="AQ167" s="299"/>
      <c r="AR167" s="295"/>
      <c r="AS167" s="164"/>
      <c r="AT167" s="164"/>
      <c r="AU167" s="320"/>
      <c r="AV167" s="324"/>
      <c r="AW167" s="89"/>
    </row>
    <row r="168" spans="1:49" s="124" customFormat="1" ht="36" customHeight="1">
      <c r="A168" s="5">
        <v>161</v>
      </c>
      <c r="B168" s="229">
        <v>164</v>
      </c>
      <c r="C168" s="6" t="s">
        <v>18</v>
      </c>
      <c r="D168" s="133" t="s">
        <v>7</v>
      </c>
      <c r="E168" s="18" t="s">
        <v>113</v>
      </c>
      <c r="F168" s="20" t="s">
        <v>594</v>
      </c>
      <c r="G168" s="20" t="s">
        <v>114</v>
      </c>
      <c r="H168" s="215">
        <v>225000</v>
      </c>
      <c r="I168" s="51">
        <v>3</v>
      </c>
      <c r="J168" s="56">
        <v>0.2</v>
      </c>
      <c r="K168" s="50"/>
      <c r="L168" s="57"/>
      <c r="M168" s="62">
        <v>4.0000000000000027</v>
      </c>
      <c r="N168" s="63">
        <v>5</v>
      </c>
      <c r="O168" s="63">
        <v>5</v>
      </c>
      <c r="P168" s="63">
        <v>4.0000000000000027</v>
      </c>
      <c r="Q168" s="63">
        <v>5</v>
      </c>
      <c r="R168" s="63">
        <v>6.0000000000000036</v>
      </c>
      <c r="S168" s="63">
        <v>3</v>
      </c>
      <c r="T168" s="64">
        <v>6.0000000000000036</v>
      </c>
      <c r="U168" s="67" t="e">
        <f t="shared" ca="1" si="92"/>
        <v>#DIV/0!</v>
      </c>
      <c r="V168" s="67">
        <f t="shared" ca="1" si="93"/>
        <v>0.2</v>
      </c>
      <c r="W168" s="69">
        <f t="shared" si="94"/>
        <v>0.63157894736842146</v>
      </c>
      <c r="X168" s="69">
        <f t="shared" si="95"/>
        <v>0.52631578947368418</v>
      </c>
      <c r="Y168" s="69">
        <f t="shared" si="96"/>
        <v>0.70175438596491224</v>
      </c>
      <c r="Z168" s="69">
        <f t="shared" si="97"/>
        <v>0.7017543859649128</v>
      </c>
      <c r="AA168" s="69">
        <f t="shared" si="98"/>
        <v>0.43859649122807015</v>
      </c>
      <c r="AB168" s="69">
        <f t="shared" si="99"/>
        <v>0.73684210526315841</v>
      </c>
      <c r="AC168" s="69">
        <f t="shared" si="100"/>
        <v>0.31578947368421051</v>
      </c>
      <c r="AD168" s="70">
        <f t="shared" si="101"/>
        <v>0.63157894736842146</v>
      </c>
      <c r="AE168" s="71">
        <f t="shared" si="102"/>
        <v>0.7</v>
      </c>
      <c r="AF168" s="71">
        <f t="shared" ca="1" si="103"/>
        <v>0.8</v>
      </c>
      <c r="AG168" s="72">
        <f t="shared" ca="1" si="104"/>
        <v>0.73333333333333339</v>
      </c>
      <c r="AH168" s="177">
        <f t="shared" si="105"/>
        <v>4.6842105263157912</v>
      </c>
      <c r="AI168" s="185">
        <f t="shared" ca="1" si="106"/>
        <v>34.350877192982466</v>
      </c>
      <c r="AJ168" s="179" t="str">
        <f t="shared" ca="1" si="107"/>
        <v>Q4</v>
      </c>
      <c r="AK168" s="90" t="s">
        <v>329</v>
      </c>
      <c r="AL168" s="194"/>
      <c r="AM168" s="103"/>
      <c r="AN168" s="103"/>
      <c r="AO168" s="103"/>
      <c r="AP168" s="108"/>
      <c r="AQ168" s="299"/>
      <c r="AR168" s="295"/>
      <c r="AS168" s="164"/>
      <c r="AT168" s="164"/>
      <c r="AU168" s="320"/>
      <c r="AV168" s="324"/>
      <c r="AW168" s="89"/>
    </row>
    <row r="169" spans="1:49" ht="36" customHeight="1">
      <c r="A169" s="1">
        <v>23</v>
      </c>
      <c r="B169" s="229">
        <v>165</v>
      </c>
      <c r="C169" s="154" t="s">
        <v>23</v>
      </c>
      <c r="D169" s="155" t="s">
        <v>7</v>
      </c>
      <c r="E169" s="3" t="s">
        <v>666</v>
      </c>
      <c r="F169" s="205" t="s">
        <v>463</v>
      </c>
      <c r="G169" s="4"/>
      <c r="H169" s="223">
        <v>1500000</v>
      </c>
      <c r="I169" s="142">
        <v>2</v>
      </c>
      <c r="J169" s="139">
        <v>0.2</v>
      </c>
      <c r="K169" s="138"/>
      <c r="L169" s="140"/>
      <c r="M169" s="62">
        <v>4</v>
      </c>
      <c r="N169" s="63">
        <v>4</v>
      </c>
      <c r="O169" s="63">
        <v>2</v>
      </c>
      <c r="P169" s="63">
        <v>6.0000000000000036</v>
      </c>
      <c r="Q169" s="63">
        <v>6</v>
      </c>
      <c r="R169" s="63">
        <v>6</v>
      </c>
      <c r="S169" s="63">
        <v>4</v>
      </c>
      <c r="T169" s="64">
        <v>2</v>
      </c>
      <c r="U169" s="141" t="e">
        <f t="shared" ca="1" si="92"/>
        <v>#DIV/0!</v>
      </c>
      <c r="V169" s="141">
        <f t="shared" ca="1" si="93"/>
        <v>0.2</v>
      </c>
      <c r="W169" s="69">
        <f t="shared" si="94"/>
        <v>0.63157894736842102</v>
      </c>
      <c r="X169" s="69">
        <f t="shared" si="95"/>
        <v>0.42105263157894735</v>
      </c>
      <c r="Y169" s="69">
        <f t="shared" si="96"/>
        <v>0.2807017543859649</v>
      </c>
      <c r="Z169" s="69">
        <f t="shared" si="97"/>
        <v>1.052631578947369</v>
      </c>
      <c r="AA169" s="69">
        <f t="shared" si="98"/>
        <v>0.52631578947368418</v>
      </c>
      <c r="AB169" s="69">
        <f t="shared" si="99"/>
        <v>0.73684210526315785</v>
      </c>
      <c r="AC169" s="69">
        <f t="shared" si="100"/>
        <v>0.42105263157894735</v>
      </c>
      <c r="AD169" s="70">
        <f t="shared" si="101"/>
        <v>0.21052631578947367</v>
      </c>
      <c r="AE169" s="71">
        <f t="shared" si="102"/>
        <v>0.8</v>
      </c>
      <c r="AF169" s="71">
        <f t="shared" ca="1" si="103"/>
        <v>0.8</v>
      </c>
      <c r="AG169" s="72">
        <f t="shared" ca="1" si="104"/>
        <v>0.80000000000000016</v>
      </c>
      <c r="AH169" s="176">
        <f t="shared" si="105"/>
        <v>4.2807017543859649</v>
      </c>
      <c r="AI169" s="184">
        <f t="shared" ca="1" si="106"/>
        <v>34.245614035087726</v>
      </c>
      <c r="AJ169" s="179" t="str">
        <f t="shared" ca="1" si="107"/>
        <v>Q2</v>
      </c>
      <c r="AK169" s="135" t="s">
        <v>338</v>
      </c>
      <c r="AL169" s="101"/>
      <c r="AM169" s="269"/>
      <c r="AN169" s="103"/>
      <c r="AO169" s="103"/>
      <c r="AP169" s="108"/>
      <c r="AQ169" s="299"/>
      <c r="AR169" s="165"/>
      <c r="AS169" s="164"/>
      <c r="AT169" s="164"/>
      <c r="AU169" s="320"/>
      <c r="AV169" s="324"/>
      <c r="AW169" s="210" t="s">
        <v>379</v>
      </c>
    </row>
    <row r="170" spans="1:49" ht="36" customHeight="1">
      <c r="A170" s="5">
        <v>166</v>
      </c>
      <c r="B170" s="229">
        <v>166</v>
      </c>
      <c r="C170" s="6" t="s">
        <v>6</v>
      </c>
      <c r="D170" s="133" t="s">
        <v>7</v>
      </c>
      <c r="E170" s="7" t="s">
        <v>120</v>
      </c>
      <c r="F170" s="9" t="s">
        <v>121</v>
      </c>
      <c r="G170" s="8"/>
      <c r="H170" s="213">
        <v>75000</v>
      </c>
      <c r="I170" s="50">
        <v>4</v>
      </c>
      <c r="J170" s="56">
        <v>0.3</v>
      </c>
      <c r="K170" s="50"/>
      <c r="L170" s="57"/>
      <c r="M170" s="62">
        <v>6.0000000000000036</v>
      </c>
      <c r="N170" s="63">
        <v>7.0000000000000044</v>
      </c>
      <c r="O170" s="63">
        <v>4.0000000000000027</v>
      </c>
      <c r="P170" s="63">
        <v>6.0000000000000036</v>
      </c>
      <c r="Q170" s="63">
        <v>6.0000000000000036</v>
      </c>
      <c r="R170" s="63">
        <v>6.0000000000000036</v>
      </c>
      <c r="S170" s="63">
        <v>2</v>
      </c>
      <c r="T170" s="64">
        <v>6.0000000000000036</v>
      </c>
      <c r="U170" s="67" t="e">
        <f t="shared" ca="1" si="92"/>
        <v>#DIV/0!</v>
      </c>
      <c r="V170" s="67">
        <f t="shared" ca="1" si="93"/>
        <v>0.3</v>
      </c>
      <c r="W170" s="69">
        <f t="shared" si="94"/>
        <v>0.94736842105263208</v>
      </c>
      <c r="X170" s="69">
        <f t="shared" si="95"/>
        <v>0.73684210526315841</v>
      </c>
      <c r="Y170" s="69">
        <f t="shared" si="96"/>
        <v>0.56140350877193024</v>
      </c>
      <c r="Z170" s="69">
        <f t="shared" si="97"/>
        <v>1.052631578947369</v>
      </c>
      <c r="AA170" s="69">
        <f t="shared" si="98"/>
        <v>0.52631578947368451</v>
      </c>
      <c r="AB170" s="69">
        <f t="shared" si="99"/>
        <v>0.73684210526315841</v>
      </c>
      <c r="AC170" s="69">
        <f t="shared" si="100"/>
        <v>0.21052631578947367</v>
      </c>
      <c r="AD170" s="70">
        <f t="shared" si="101"/>
        <v>0.63157894736842146</v>
      </c>
      <c r="AE170" s="71">
        <f t="shared" si="102"/>
        <v>0.6</v>
      </c>
      <c r="AF170" s="71">
        <f t="shared" ca="1" si="103"/>
        <v>0.7</v>
      </c>
      <c r="AG170" s="72">
        <f t="shared" ca="1" si="104"/>
        <v>0.6333333333333333</v>
      </c>
      <c r="AH170" s="177">
        <f t="shared" si="105"/>
        <v>5.403508771929828</v>
      </c>
      <c r="AI170" s="185">
        <f t="shared" ca="1" si="106"/>
        <v>34.222222222222243</v>
      </c>
      <c r="AJ170" s="179" t="str">
        <f t="shared" ca="1" si="107"/>
        <v>Q4</v>
      </c>
      <c r="AK170" s="88" t="s">
        <v>329</v>
      </c>
      <c r="AL170" s="192"/>
      <c r="AM170" s="103"/>
      <c r="AN170" s="103"/>
      <c r="AO170" s="103"/>
      <c r="AP170" s="108"/>
      <c r="AQ170" s="299"/>
      <c r="AR170" s="295"/>
      <c r="AS170" s="164"/>
      <c r="AT170" s="164"/>
      <c r="AU170" s="320"/>
      <c r="AV170" s="324"/>
      <c r="AW170" s="89"/>
    </row>
    <row r="171" spans="1:49" ht="36" customHeight="1">
      <c r="A171" s="5">
        <v>264</v>
      </c>
      <c r="B171" s="229">
        <v>167</v>
      </c>
      <c r="C171" s="6" t="s">
        <v>8</v>
      </c>
      <c r="D171" s="133" t="s">
        <v>7</v>
      </c>
      <c r="E171" s="18" t="s">
        <v>218</v>
      </c>
      <c r="F171" s="19" t="s">
        <v>586</v>
      </c>
      <c r="G171" s="20" t="s">
        <v>219</v>
      </c>
      <c r="H171" s="215">
        <v>101637</v>
      </c>
      <c r="I171" s="51">
        <v>2</v>
      </c>
      <c r="J171" s="56">
        <v>0</v>
      </c>
      <c r="K171" s="50"/>
      <c r="L171" s="57"/>
      <c r="M171" s="62">
        <v>2</v>
      </c>
      <c r="N171" s="63">
        <v>4</v>
      </c>
      <c r="O171" s="63">
        <v>4.0000000000000027</v>
      </c>
      <c r="P171" s="63">
        <v>8.0000000000000053</v>
      </c>
      <c r="Q171" s="63">
        <v>8.0000000000000053</v>
      </c>
      <c r="R171" s="63">
        <v>1</v>
      </c>
      <c r="S171" s="63">
        <v>0</v>
      </c>
      <c r="T171" s="64">
        <v>4.0000000000000027</v>
      </c>
      <c r="U171" s="67" t="e">
        <f t="shared" ca="1" si="92"/>
        <v>#DIV/0!</v>
      </c>
      <c r="V171" s="67">
        <f t="shared" ca="1" si="93"/>
        <v>0</v>
      </c>
      <c r="W171" s="69">
        <f t="shared" si="94"/>
        <v>0.31578947368421051</v>
      </c>
      <c r="X171" s="69">
        <f t="shared" si="95"/>
        <v>0.42105263157894735</v>
      </c>
      <c r="Y171" s="69">
        <f t="shared" si="96"/>
        <v>0.56140350877193024</v>
      </c>
      <c r="Z171" s="69">
        <f t="shared" si="97"/>
        <v>1.4035087719298256</v>
      </c>
      <c r="AA171" s="69">
        <f t="shared" si="98"/>
        <v>0.7017543859649128</v>
      </c>
      <c r="AB171" s="69">
        <f t="shared" si="99"/>
        <v>0.12280701754385964</v>
      </c>
      <c r="AC171" s="69">
        <f t="shared" si="100"/>
        <v>0</v>
      </c>
      <c r="AD171" s="70">
        <f t="shared" si="101"/>
        <v>0.42105263157894762</v>
      </c>
      <c r="AE171" s="71">
        <f t="shared" si="102"/>
        <v>0.8</v>
      </c>
      <c r="AF171" s="71">
        <f t="shared" ca="1" si="103"/>
        <v>1</v>
      </c>
      <c r="AG171" s="72">
        <f t="shared" ca="1" si="104"/>
        <v>0.8666666666666667</v>
      </c>
      <c r="AH171" s="177">
        <f t="shared" si="105"/>
        <v>3.9473684210526336</v>
      </c>
      <c r="AI171" s="185">
        <f t="shared" ca="1" si="106"/>
        <v>34.210526315789494</v>
      </c>
      <c r="AJ171" s="179" t="str">
        <f t="shared" ca="1" si="107"/>
        <v>Q2</v>
      </c>
      <c r="AK171" s="90" t="s">
        <v>329</v>
      </c>
      <c r="AL171" s="194"/>
      <c r="AM171" s="103"/>
      <c r="AN171" s="107"/>
      <c r="AO171" s="107"/>
      <c r="AP171" s="108"/>
      <c r="AQ171" s="299"/>
      <c r="AR171" s="295"/>
      <c r="AS171" s="164"/>
      <c r="AT171" s="164"/>
      <c r="AU171" s="320"/>
      <c r="AV171" s="324"/>
      <c r="AW171" s="89"/>
    </row>
    <row r="172" spans="1:49" ht="36" customHeight="1">
      <c r="A172" s="5"/>
      <c r="B172" s="229">
        <v>168</v>
      </c>
      <c r="C172" s="6" t="s">
        <v>18</v>
      </c>
      <c r="D172" s="133" t="s">
        <v>385</v>
      </c>
      <c r="E172" s="12" t="s">
        <v>406</v>
      </c>
      <c r="F172" s="8" t="s">
        <v>497</v>
      </c>
      <c r="G172" s="8"/>
      <c r="H172" s="213">
        <v>240000</v>
      </c>
      <c r="I172" s="51">
        <v>4</v>
      </c>
      <c r="J172" s="56">
        <v>0.4</v>
      </c>
      <c r="K172" s="50"/>
      <c r="L172" s="57"/>
      <c r="M172" s="62">
        <v>6</v>
      </c>
      <c r="N172" s="63">
        <v>7</v>
      </c>
      <c r="O172" s="63">
        <v>6</v>
      </c>
      <c r="P172" s="63">
        <v>5</v>
      </c>
      <c r="Q172" s="63">
        <v>8</v>
      </c>
      <c r="R172" s="63">
        <v>6</v>
      </c>
      <c r="S172" s="63">
        <v>0</v>
      </c>
      <c r="T172" s="64">
        <v>8</v>
      </c>
      <c r="U172" s="67" t="e">
        <f t="shared" ca="1" si="92"/>
        <v>#DIV/0!</v>
      </c>
      <c r="V172" s="67">
        <f t="shared" ca="1" si="93"/>
        <v>0.4</v>
      </c>
      <c r="W172" s="69">
        <f t="shared" si="94"/>
        <v>0.94736842105263153</v>
      </c>
      <c r="X172" s="69">
        <f t="shared" si="95"/>
        <v>0.73684210526315785</v>
      </c>
      <c r="Y172" s="69">
        <f t="shared" si="96"/>
        <v>0.84210526315789469</v>
      </c>
      <c r="Z172" s="69">
        <f t="shared" si="97"/>
        <v>0.8771929824561403</v>
      </c>
      <c r="AA172" s="69">
        <f t="shared" si="98"/>
        <v>0.70175438596491224</v>
      </c>
      <c r="AB172" s="69">
        <f t="shared" si="99"/>
        <v>0.73684210526315785</v>
      </c>
      <c r="AC172" s="69">
        <f t="shared" si="100"/>
        <v>0</v>
      </c>
      <c r="AD172" s="70">
        <f t="shared" si="101"/>
        <v>0.84210526315789469</v>
      </c>
      <c r="AE172" s="71">
        <f t="shared" si="102"/>
        <v>0.6</v>
      </c>
      <c r="AF172" s="71">
        <f t="shared" ca="1" si="103"/>
        <v>0.6</v>
      </c>
      <c r="AG172" s="72">
        <f t="shared" ca="1" si="104"/>
        <v>0.6</v>
      </c>
      <c r="AH172" s="177">
        <f t="shared" si="105"/>
        <v>5.6842105263157885</v>
      </c>
      <c r="AI172" s="185">
        <f t="shared" ca="1" si="106"/>
        <v>34.105263157894733</v>
      </c>
      <c r="AJ172" s="179" t="str">
        <f t="shared" ca="1" si="107"/>
        <v>Q4</v>
      </c>
      <c r="AK172" s="90" t="s">
        <v>347</v>
      </c>
      <c r="AL172" s="194"/>
      <c r="AM172" s="103"/>
      <c r="AN172" s="103"/>
      <c r="AO172" s="103"/>
      <c r="AP172" s="108"/>
      <c r="AQ172" s="299"/>
      <c r="AR172" s="295"/>
      <c r="AS172" s="164"/>
      <c r="AT172" s="164"/>
      <c r="AU172" s="320"/>
      <c r="AV172" s="324"/>
      <c r="AW172" s="89"/>
    </row>
    <row r="173" spans="1:49" ht="36" customHeight="1">
      <c r="A173" s="5">
        <v>173</v>
      </c>
      <c r="B173" s="229">
        <v>169</v>
      </c>
      <c r="C173" s="6" t="s">
        <v>18</v>
      </c>
      <c r="D173" s="133" t="s">
        <v>7</v>
      </c>
      <c r="E173" s="18" t="s">
        <v>568</v>
      </c>
      <c r="F173" s="20" t="s">
        <v>569</v>
      </c>
      <c r="G173" s="20" t="s">
        <v>126</v>
      </c>
      <c r="H173" s="215">
        <v>142000</v>
      </c>
      <c r="I173" s="51">
        <v>3</v>
      </c>
      <c r="J173" s="56">
        <v>0.3</v>
      </c>
      <c r="K173" s="50"/>
      <c r="L173" s="57"/>
      <c r="M173" s="62">
        <v>4</v>
      </c>
      <c r="N173" s="63">
        <v>6.0000000000000036</v>
      </c>
      <c r="O173" s="63">
        <v>1</v>
      </c>
      <c r="P173" s="63">
        <v>9.0000000000000018</v>
      </c>
      <c r="Q173" s="63">
        <v>6.0000000000000036</v>
      </c>
      <c r="R173" s="63">
        <v>5.0000000000000027</v>
      </c>
      <c r="S173" s="63">
        <v>0</v>
      </c>
      <c r="T173" s="64">
        <v>7.0000000000000044</v>
      </c>
      <c r="U173" s="67" t="e">
        <f t="shared" ca="1" si="92"/>
        <v>#DIV/0!</v>
      </c>
      <c r="V173" s="67">
        <f t="shared" ca="1" si="93"/>
        <v>0.3</v>
      </c>
      <c r="W173" s="69">
        <f t="shared" si="94"/>
        <v>0.63157894736842102</v>
      </c>
      <c r="X173" s="69">
        <f t="shared" si="95"/>
        <v>0.63157894736842146</v>
      </c>
      <c r="Y173" s="69">
        <f t="shared" si="96"/>
        <v>0.14035087719298245</v>
      </c>
      <c r="Z173" s="69">
        <f t="shared" si="97"/>
        <v>1.5789473684210529</v>
      </c>
      <c r="AA173" s="69">
        <f t="shared" si="98"/>
        <v>0.52631578947368451</v>
      </c>
      <c r="AB173" s="69">
        <f t="shared" si="99"/>
        <v>0.6140350877192986</v>
      </c>
      <c r="AC173" s="69">
        <f t="shared" si="100"/>
        <v>0</v>
      </c>
      <c r="AD173" s="70">
        <f t="shared" si="101"/>
        <v>0.73684210526315841</v>
      </c>
      <c r="AE173" s="71">
        <f t="shared" si="102"/>
        <v>0.7</v>
      </c>
      <c r="AF173" s="71">
        <f t="shared" ca="1" si="103"/>
        <v>0.7</v>
      </c>
      <c r="AG173" s="72">
        <f t="shared" ca="1" si="104"/>
        <v>0.69999999999999984</v>
      </c>
      <c r="AH173" s="177">
        <f t="shared" si="105"/>
        <v>4.8596491228070189</v>
      </c>
      <c r="AI173" s="185">
        <f t="shared" ca="1" si="106"/>
        <v>34.017543859649123</v>
      </c>
      <c r="AJ173" s="179" t="str">
        <f t="shared" ca="1" si="107"/>
        <v>Q4</v>
      </c>
      <c r="AK173" s="90" t="s">
        <v>329</v>
      </c>
      <c r="AL173" s="195"/>
      <c r="AM173" s="103"/>
      <c r="AN173" s="103"/>
      <c r="AO173" s="103"/>
      <c r="AP173" s="108"/>
      <c r="AQ173" s="299"/>
      <c r="AR173" s="295"/>
      <c r="AS173" s="164"/>
      <c r="AT173" s="164"/>
      <c r="AU173" s="320"/>
      <c r="AV173" s="324"/>
      <c r="AW173" s="89"/>
    </row>
    <row r="174" spans="1:49" ht="36" customHeight="1">
      <c r="A174" s="5">
        <v>223</v>
      </c>
      <c r="B174" s="229">
        <v>170</v>
      </c>
      <c r="C174" s="6" t="s">
        <v>8</v>
      </c>
      <c r="D174" s="133" t="s">
        <v>7</v>
      </c>
      <c r="E174" s="7" t="s">
        <v>171</v>
      </c>
      <c r="F174" s="9" t="s">
        <v>571</v>
      </c>
      <c r="G174" s="8"/>
      <c r="H174" s="219">
        <v>100000</v>
      </c>
      <c r="I174" s="50">
        <v>2</v>
      </c>
      <c r="J174" s="56">
        <v>0.2</v>
      </c>
      <c r="K174" s="50"/>
      <c r="L174" s="57"/>
      <c r="M174" s="62">
        <v>2</v>
      </c>
      <c r="N174" s="63">
        <v>5</v>
      </c>
      <c r="O174" s="63">
        <v>4</v>
      </c>
      <c r="P174" s="63">
        <v>8</v>
      </c>
      <c r="Q174" s="63">
        <v>6</v>
      </c>
      <c r="R174" s="63">
        <v>4.0000000000000027</v>
      </c>
      <c r="S174" s="63">
        <v>0</v>
      </c>
      <c r="T174" s="64">
        <v>4.0000000000000027</v>
      </c>
      <c r="U174" s="67" t="e">
        <f t="shared" ca="1" si="92"/>
        <v>#DIV/0!</v>
      </c>
      <c r="V174" s="67">
        <f t="shared" ca="1" si="93"/>
        <v>0.2</v>
      </c>
      <c r="W174" s="69">
        <f t="shared" si="94"/>
        <v>0.31578947368421051</v>
      </c>
      <c r="X174" s="69">
        <f t="shared" si="95"/>
        <v>0.52631578947368418</v>
      </c>
      <c r="Y174" s="69">
        <f t="shared" si="96"/>
        <v>0.56140350877192979</v>
      </c>
      <c r="Z174" s="69">
        <f t="shared" si="97"/>
        <v>1.4035087719298245</v>
      </c>
      <c r="AA174" s="69">
        <f t="shared" si="98"/>
        <v>0.52631578947368418</v>
      </c>
      <c r="AB174" s="69">
        <f t="shared" si="99"/>
        <v>0.4912280701754389</v>
      </c>
      <c r="AC174" s="69">
        <f t="shared" si="100"/>
        <v>0</v>
      </c>
      <c r="AD174" s="70">
        <f t="shared" si="101"/>
        <v>0.42105263157894762</v>
      </c>
      <c r="AE174" s="71">
        <f t="shared" si="102"/>
        <v>0.8</v>
      </c>
      <c r="AF174" s="71">
        <f t="shared" ca="1" si="103"/>
        <v>0.8</v>
      </c>
      <c r="AG174" s="72">
        <f t="shared" ca="1" si="104"/>
        <v>0.80000000000000016</v>
      </c>
      <c r="AH174" s="177">
        <f t="shared" si="105"/>
        <v>4.2456140350877192</v>
      </c>
      <c r="AI174" s="185">
        <f t="shared" ca="1" si="106"/>
        <v>33.96491228070176</v>
      </c>
      <c r="AJ174" s="179" t="str">
        <f t="shared" ca="1" si="107"/>
        <v>Q2</v>
      </c>
      <c r="AK174" s="88" t="s">
        <v>329</v>
      </c>
      <c r="AL174" s="193"/>
      <c r="AM174" s="103"/>
      <c r="AN174" s="103"/>
      <c r="AO174" s="103"/>
      <c r="AP174" s="108"/>
      <c r="AQ174" s="299"/>
      <c r="AR174" s="295"/>
      <c r="AS174" s="164"/>
      <c r="AT174" s="164"/>
      <c r="AU174" s="320"/>
      <c r="AV174" s="324"/>
      <c r="AW174" s="89"/>
    </row>
    <row r="175" spans="1:49" ht="36" customHeight="1">
      <c r="A175" s="5">
        <v>225</v>
      </c>
      <c r="B175" s="229">
        <v>171</v>
      </c>
      <c r="C175" s="6" t="s">
        <v>6</v>
      </c>
      <c r="D175" s="133" t="s">
        <v>7</v>
      </c>
      <c r="E175" s="7" t="s">
        <v>401</v>
      </c>
      <c r="F175" s="9" t="s">
        <v>570</v>
      </c>
      <c r="G175" s="8"/>
      <c r="H175" s="213">
        <v>220000</v>
      </c>
      <c r="I175" s="50">
        <v>4</v>
      </c>
      <c r="J175" s="56">
        <v>0.2</v>
      </c>
      <c r="K175" s="50"/>
      <c r="L175" s="57"/>
      <c r="M175" s="62">
        <v>6</v>
      </c>
      <c r="N175" s="63">
        <v>8.0000000000000053</v>
      </c>
      <c r="O175" s="63">
        <v>3</v>
      </c>
      <c r="P175" s="63">
        <v>6.0000000000000036</v>
      </c>
      <c r="Q175" s="63">
        <v>0</v>
      </c>
      <c r="R175" s="63">
        <v>8</v>
      </c>
      <c r="S175" s="63">
        <v>0</v>
      </c>
      <c r="T175" s="64">
        <v>8</v>
      </c>
      <c r="U175" s="67" t="e">
        <f t="shared" ca="1" si="92"/>
        <v>#DIV/0!</v>
      </c>
      <c r="V175" s="67">
        <f t="shared" ca="1" si="93"/>
        <v>0.2</v>
      </c>
      <c r="W175" s="69">
        <f t="shared" si="94"/>
        <v>0.94736842105263153</v>
      </c>
      <c r="X175" s="69">
        <f t="shared" si="95"/>
        <v>0.84210526315789525</v>
      </c>
      <c r="Y175" s="69">
        <f t="shared" si="96"/>
        <v>0.42105263157894735</v>
      </c>
      <c r="Z175" s="69">
        <f t="shared" si="97"/>
        <v>1.052631578947369</v>
      </c>
      <c r="AA175" s="69">
        <f t="shared" si="98"/>
        <v>0</v>
      </c>
      <c r="AB175" s="69">
        <f t="shared" si="99"/>
        <v>0.98245614035087714</v>
      </c>
      <c r="AC175" s="69">
        <f t="shared" si="100"/>
        <v>0</v>
      </c>
      <c r="AD175" s="70">
        <f t="shared" si="101"/>
        <v>0.84210526315789469</v>
      </c>
      <c r="AE175" s="71">
        <f t="shared" si="102"/>
        <v>0.6</v>
      </c>
      <c r="AF175" s="71">
        <f t="shared" ca="1" si="103"/>
        <v>0.8</v>
      </c>
      <c r="AG175" s="72">
        <f t="shared" ca="1" si="104"/>
        <v>0.66666666666666663</v>
      </c>
      <c r="AH175" s="177">
        <f t="shared" si="105"/>
        <v>5.0877192982456156</v>
      </c>
      <c r="AI175" s="185">
        <f t="shared" ca="1" si="106"/>
        <v>33.918128654970772</v>
      </c>
      <c r="AJ175" s="179" t="str">
        <f t="shared" ca="1" si="107"/>
        <v>Q4</v>
      </c>
      <c r="AK175" s="88" t="s">
        <v>329</v>
      </c>
      <c r="AL175" s="193"/>
      <c r="AM175" s="103"/>
      <c r="AN175" s="103"/>
      <c r="AO175" s="103"/>
      <c r="AP175" s="108"/>
      <c r="AQ175" s="299"/>
      <c r="AR175" s="295"/>
      <c r="AS175" s="164"/>
      <c r="AT175" s="164"/>
      <c r="AU175" s="320"/>
      <c r="AV175" s="324"/>
      <c r="AW175" s="89"/>
    </row>
    <row r="176" spans="1:49" ht="36" customHeight="1">
      <c r="A176" s="5">
        <v>248</v>
      </c>
      <c r="B176" s="229">
        <v>172</v>
      </c>
      <c r="C176" s="6" t="s">
        <v>20</v>
      </c>
      <c r="D176" s="133" t="s">
        <v>385</v>
      </c>
      <c r="E176" s="21" t="s">
        <v>21</v>
      </c>
      <c r="F176" s="13" t="s">
        <v>627</v>
      </c>
      <c r="G176" s="114" t="s">
        <v>22</v>
      </c>
      <c r="H176" s="215">
        <v>172000</v>
      </c>
      <c r="I176" s="51">
        <v>5</v>
      </c>
      <c r="J176" s="56">
        <v>0.25</v>
      </c>
      <c r="K176" s="50"/>
      <c r="L176" s="57"/>
      <c r="M176" s="62">
        <v>7.0000000000000044</v>
      </c>
      <c r="N176" s="63">
        <v>7.0000000000000044</v>
      </c>
      <c r="O176" s="63">
        <v>6.0000000000000036</v>
      </c>
      <c r="P176" s="63">
        <v>5</v>
      </c>
      <c r="Q176" s="63">
        <v>5</v>
      </c>
      <c r="R176" s="63">
        <v>7</v>
      </c>
      <c r="S176" s="63">
        <v>1</v>
      </c>
      <c r="T176" s="64">
        <v>8.0000000000000053</v>
      </c>
      <c r="U176" s="67" t="e">
        <f t="shared" ca="1" si="92"/>
        <v>#DIV/0!</v>
      </c>
      <c r="V176" s="67">
        <f t="shared" ca="1" si="93"/>
        <v>0.25</v>
      </c>
      <c r="W176" s="69">
        <f t="shared" si="94"/>
        <v>1.1052631578947376</v>
      </c>
      <c r="X176" s="69">
        <f t="shared" si="95"/>
        <v>0.73684210526315841</v>
      </c>
      <c r="Y176" s="69">
        <f t="shared" si="96"/>
        <v>0.84210526315789525</v>
      </c>
      <c r="Z176" s="69">
        <f t="shared" si="97"/>
        <v>0.8771929824561403</v>
      </c>
      <c r="AA176" s="69">
        <f t="shared" si="98"/>
        <v>0.43859649122807015</v>
      </c>
      <c r="AB176" s="69">
        <f t="shared" si="99"/>
        <v>0.85964912280701755</v>
      </c>
      <c r="AC176" s="69">
        <f t="shared" si="100"/>
        <v>0.10526315789473684</v>
      </c>
      <c r="AD176" s="70">
        <f t="shared" si="101"/>
        <v>0.84210526315789525</v>
      </c>
      <c r="AE176" s="71">
        <f t="shared" si="102"/>
        <v>0.5</v>
      </c>
      <c r="AF176" s="71">
        <f t="shared" ca="1" si="103"/>
        <v>0.75</v>
      </c>
      <c r="AG176" s="72">
        <f t="shared" ca="1" si="104"/>
        <v>0.58333333333333337</v>
      </c>
      <c r="AH176" s="177">
        <f t="shared" si="105"/>
        <v>5.8070175438596516</v>
      </c>
      <c r="AI176" s="185">
        <f t="shared" ca="1" si="106"/>
        <v>33.874269005847971</v>
      </c>
      <c r="AJ176" s="179" t="str">
        <f t="shared" ca="1" si="107"/>
        <v>Q4</v>
      </c>
      <c r="AK176" s="90" t="s">
        <v>329</v>
      </c>
      <c r="AL176" s="194"/>
      <c r="AM176" s="103"/>
      <c r="AN176" s="103"/>
      <c r="AO176" s="103"/>
      <c r="AP176" s="108"/>
      <c r="AQ176" s="299"/>
      <c r="AR176" s="295"/>
      <c r="AS176" s="164"/>
      <c r="AT176" s="164"/>
      <c r="AU176" s="320"/>
      <c r="AV176" s="324"/>
      <c r="AW176" s="89"/>
    </row>
    <row r="177" spans="1:49" ht="36" customHeight="1">
      <c r="A177" s="5">
        <v>253</v>
      </c>
      <c r="B177" s="229">
        <v>173</v>
      </c>
      <c r="C177" s="6" t="s">
        <v>8</v>
      </c>
      <c r="D177" s="133" t="s">
        <v>7</v>
      </c>
      <c r="E177" s="211" t="s">
        <v>616</v>
      </c>
      <c r="F177" s="31" t="s">
        <v>204</v>
      </c>
      <c r="G177" s="151" t="s">
        <v>205</v>
      </c>
      <c r="H177" s="213">
        <v>100000</v>
      </c>
      <c r="I177" s="51">
        <v>3</v>
      </c>
      <c r="J177" s="56">
        <v>0.3</v>
      </c>
      <c r="K177" s="50"/>
      <c r="L177" s="57"/>
      <c r="M177" s="62">
        <v>7</v>
      </c>
      <c r="N177" s="63">
        <v>8</v>
      </c>
      <c r="O177" s="63">
        <v>4</v>
      </c>
      <c r="P177" s="63">
        <v>0</v>
      </c>
      <c r="Q177" s="63">
        <v>6.0000000000000036</v>
      </c>
      <c r="R177" s="63">
        <v>6.0000000000000036</v>
      </c>
      <c r="S177" s="63">
        <v>0</v>
      </c>
      <c r="T177" s="64">
        <v>9.9999999999999982</v>
      </c>
      <c r="U177" s="67" t="e">
        <f t="shared" ca="1" si="92"/>
        <v>#DIV/0!</v>
      </c>
      <c r="V177" s="67">
        <f t="shared" ca="1" si="93"/>
        <v>0.3</v>
      </c>
      <c r="W177" s="69">
        <f t="shared" si="94"/>
        <v>1.1052631578947369</v>
      </c>
      <c r="X177" s="69">
        <f t="shared" si="95"/>
        <v>0.84210526315789469</v>
      </c>
      <c r="Y177" s="69">
        <f t="shared" si="96"/>
        <v>0.56140350877192979</v>
      </c>
      <c r="Z177" s="69">
        <f t="shared" si="97"/>
        <v>0</v>
      </c>
      <c r="AA177" s="69">
        <f t="shared" si="98"/>
        <v>0.52631578947368451</v>
      </c>
      <c r="AB177" s="69">
        <f t="shared" si="99"/>
        <v>0.73684210526315841</v>
      </c>
      <c r="AC177" s="69">
        <f t="shared" si="100"/>
        <v>0</v>
      </c>
      <c r="AD177" s="70">
        <f t="shared" si="101"/>
        <v>1.0526315789473681</v>
      </c>
      <c r="AE177" s="71">
        <f t="shared" si="102"/>
        <v>0.7</v>
      </c>
      <c r="AF177" s="71">
        <f t="shared" ca="1" si="103"/>
        <v>0.7</v>
      </c>
      <c r="AG177" s="72">
        <f t="shared" ca="1" si="104"/>
        <v>0.69999999999999984</v>
      </c>
      <c r="AH177" s="177">
        <f t="shared" si="105"/>
        <v>4.8245614035087723</v>
      </c>
      <c r="AI177" s="185">
        <f t="shared" ca="1" si="106"/>
        <v>33.771929824561397</v>
      </c>
      <c r="AJ177" s="179" t="str">
        <f t="shared" ca="1" si="107"/>
        <v>Q4</v>
      </c>
      <c r="AK177" s="90" t="s">
        <v>338</v>
      </c>
      <c r="AL177" s="194"/>
      <c r="AM177" s="103"/>
      <c r="AN177" s="103"/>
      <c r="AO177" s="103"/>
      <c r="AP177" s="108"/>
      <c r="AQ177" s="299"/>
      <c r="AR177" s="295"/>
      <c r="AS177" s="164"/>
      <c r="AT177" s="164"/>
      <c r="AU177" s="320"/>
      <c r="AV177" s="324"/>
      <c r="AW177" s="89"/>
    </row>
    <row r="178" spans="1:49" s="122" customFormat="1" ht="36" customHeight="1">
      <c r="A178" s="5">
        <v>256</v>
      </c>
      <c r="B178" s="229">
        <v>174</v>
      </c>
      <c r="C178" s="6" t="s">
        <v>8</v>
      </c>
      <c r="D178" s="133" t="s">
        <v>7</v>
      </c>
      <c r="E178" s="18" t="s">
        <v>211</v>
      </c>
      <c r="F178" s="20" t="s">
        <v>549</v>
      </c>
      <c r="G178" s="20" t="s">
        <v>212</v>
      </c>
      <c r="H178" s="215">
        <v>127000</v>
      </c>
      <c r="I178" s="51">
        <v>2</v>
      </c>
      <c r="J178" s="56">
        <v>0</v>
      </c>
      <c r="K178" s="50"/>
      <c r="L178" s="57"/>
      <c r="M178" s="143">
        <v>2</v>
      </c>
      <c r="N178" s="144">
        <v>4.0000000000000027</v>
      </c>
      <c r="O178" s="144">
        <v>5</v>
      </c>
      <c r="P178" s="144">
        <v>4.0000000000000027</v>
      </c>
      <c r="Q178" s="144">
        <v>6.0000000000000036</v>
      </c>
      <c r="R178" s="144">
        <v>4.0000000000000027</v>
      </c>
      <c r="S178" s="144">
        <v>3</v>
      </c>
      <c r="T178" s="145">
        <v>4.0000000000000027</v>
      </c>
      <c r="U178" s="67" t="e">
        <f t="shared" ca="1" si="92"/>
        <v>#DIV/0!</v>
      </c>
      <c r="V178" s="67">
        <f t="shared" ca="1" si="93"/>
        <v>0</v>
      </c>
      <c r="W178" s="146">
        <f t="shared" si="94"/>
        <v>0.31578947368421051</v>
      </c>
      <c r="X178" s="146">
        <f t="shared" si="95"/>
        <v>0.42105263157894762</v>
      </c>
      <c r="Y178" s="146">
        <f t="shared" si="96"/>
        <v>0.70175438596491224</v>
      </c>
      <c r="Z178" s="146">
        <f t="shared" si="97"/>
        <v>0.7017543859649128</v>
      </c>
      <c r="AA178" s="146">
        <f t="shared" si="98"/>
        <v>0.52631578947368451</v>
      </c>
      <c r="AB178" s="146">
        <f t="shared" si="99"/>
        <v>0.4912280701754389</v>
      </c>
      <c r="AC178" s="146">
        <f t="shared" si="100"/>
        <v>0.31578947368421051</v>
      </c>
      <c r="AD178" s="147">
        <f t="shared" si="101"/>
        <v>0.42105263157894762</v>
      </c>
      <c r="AE178" s="148">
        <f t="shared" si="102"/>
        <v>0.8</v>
      </c>
      <c r="AF178" s="148">
        <f t="shared" ca="1" si="103"/>
        <v>1</v>
      </c>
      <c r="AG178" s="149">
        <f t="shared" ca="1" si="104"/>
        <v>0.8666666666666667</v>
      </c>
      <c r="AH178" s="177">
        <f t="shared" si="105"/>
        <v>3.8947368421052651</v>
      </c>
      <c r="AI178" s="185">
        <f t="shared" ca="1" si="106"/>
        <v>33.754385964912295</v>
      </c>
      <c r="AJ178" s="180" t="str">
        <f t="shared" ca="1" si="107"/>
        <v>Q2</v>
      </c>
      <c r="AK178" s="90" t="s">
        <v>338</v>
      </c>
      <c r="AL178" s="195"/>
      <c r="AM178" s="107"/>
      <c r="AN178" s="107"/>
      <c r="AO178" s="107"/>
      <c r="AP178" s="199"/>
      <c r="AQ178" s="303"/>
      <c r="AR178" s="296"/>
      <c r="AS178" s="166"/>
      <c r="AT178" s="166"/>
      <c r="AU178" s="322"/>
      <c r="AV178" s="324"/>
      <c r="AW178" s="89"/>
    </row>
    <row r="179" spans="1:49" s="122" customFormat="1" ht="36" customHeight="1">
      <c r="A179" s="5">
        <v>296</v>
      </c>
      <c r="B179" s="229">
        <v>175</v>
      </c>
      <c r="C179" s="6" t="s">
        <v>8</v>
      </c>
      <c r="D179" s="133" t="s">
        <v>7</v>
      </c>
      <c r="E179" s="18" t="s">
        <v>251</v>
      </c>
      <c r="F179" s="19" t="s">
        <v>607</v>
      </c>
      <c r="G179" s="20" t="s">
        <v>252</v>
      </c>
      <c r="H179" s="215">
        <v>118500</v>
      </c>
      <c r="I179" s="51">
        <v>4</v>
      </c>
      <c r="J179" s="56">
        <v>0.1</v>
      </c>
      <c r="K179" s="50"/>
      <c r="L179" s="57"/>
      <c r="M179" s="143">
        <v>4.0000000000000027</v>
      </c>
      <c r="N179" s="144">
        <v>6.0000000000000036</v>
      </c>
      <c r="O179" s="144">
        <v>4.0000000000000027</v>
      </c>
      <c r="P179" s="144">
        <v>8.0000000000000053</v>
      </c>
      <c r="Q179" s="144">
        <v>4.0000000000000027</v>
      </c>
      <c r="R179" s="144">
        <v>4.0000000000000027</v>
      </c>
      <c r="S179" s="144">
        <v>3</v>
      </c>
      <c r="T179" s="145">
        <v>4.0000000000000027</v>
      </c>
      <c r="U179" s="67" t="e">
        <f t="shared" ca="1" si="92"/>
        <v>#DIV/0!</v>
      </c>
      <c r="V179" s="67">
        <f t="shared" ca="1" si="93"/>
        <v>0.1</v>
      </c>
      <c r="W179" s="146">
        <f t="shared" si="94"/>
        <v>0.63157894736842146</v>
      </c>
      <c r="X179" s="146">
        <f t="shared" si="95"/>
        <v>0.63157894736842146</v>
      </c>
      <c r="Y179" s="146">
        <f t="shared" si="96"/>
        <v>0.56140350877193024</v>
      </c>
      <c r="Z179" s="146">
        <f t="shared" si="97"/>
        <v>1.4035087719298256</v>
      </c>
      <c r="AA179" s="146">
        <f t="shared" si="98"/>
        <v>0.3508771929824564</v>
      </c>
      <c r="AB179" s="146">
        <f t="shared" si="99"/>
        <v>0.4912280701754389</v>
      </c>
      <c r="AC179" s="146">
        <f t="shared" si="100"/>
        <v>0.31578947368421051</v>
      </c>
      <c r="AD179" s="147">
        <f t="shared" si="101"/>
        <v>0.42105263157894762</v>
      </c>
      <c r="AE179" s="148">
        <f t="shared" si="102"/>
        <v>0.6</v>
      </c>
      <c r="AF179" s="148">
        <f t="shared" ca="1" si="103"/>
        <v>0.9</v>
      </c>
      <c r="AG179" s="149">
        <f t="shared" ca="1" si="104"/>
        <v>0.70000000000000007</v>
      </c>
      <c r="AH179" s="177">
        <f t="shared" si="105"/>
        <v>4.8070175438596525</v>
      </c>
      <c r="AI179" s="185">
        <f t="shared" ca="1" si="106"/>
        <v>33.649122807017577</v>
      </c>
      <c r="AJ179" s="180" t="str">
        <f t="shared" ca="1" si="107"/>
        <v>Q4</v>
      </c>
      <c r="AK179" s="90" t="s">
        <v>338</v>
      </c>
      <c r="AL179" s="195"/>
      <c r="AM179" s="107"/>
      <c r="AN179" s="107"/>
      <c r="AO179" s="107"/>
      <c r="AP179" s="199"/>
      <c r="AQ179" s="303"/>
      <c r="AR179" s="296"/>
      <c r="AS179" s="166"/>
      <c r="AT179" s="166"/>
      <c r="AU179" s="322"/>
      <c r="AV179" s="324"/>
      <c r="AW179" s="89"/>
    </row>
    <row r="180" spans="1:49" ht="36" customHeight="1">
      <c r="A180" s="5"/>
      <c r="B180" s="229">
        <v>176</v>
      </c>
      <c r="C180" s="6" t="s">
        <v>18</v>
      </c>
      <c r="D180" s="133" t="s">
        <v>383</v>
      </c>
      <c r="E180" s="12" t="s">
        <v>409</v>
      </c>
      <c r="F180" s="13" t="s">
        <v>530</v>
      </c>
      <c r="G180" s="20"/>
      <c r="H180" s="215">
        <v>1925000</v>
      </c>
      <c r="I180" s="51">
        <v>3</v>
      </c>
      <c r="J180" s="56">
        <v>0.3</v>
      </c>
      <c r="K180" s="50"/>
      <c r="L180" s="57"/>
      <c r="M180" s="62">
        <v>6</v>
      </c>
      <c r="N180" s="63">
        <v>8</v>
      </c>
      <c r="O180" s="63">
        <v>2</v>
      </c>
      <c r="P180" s="63">
        <v>4</v>
      </c>
      <c r="Q180" s="63">
        <v>0</v>
      </c>
      <c r="R180" s="63">
        <v>8</v>
      </c>
      <c r="S180" s="63">
        <v>0</v>
      </c>
      <c r="T180" s="64">
        <v>10</v>
      </c>
      <c r="U180" s="67" t="e">
        <f t="shared" ca="1" si="92"/>
        <v>#DIV/0!</v>
      </c>
      <c r="V180" s="67">
        <f t="shared" ca="1" si="93"/>
        <v>0.3</v>
      </c>
      <c r="W180" s="69">
        <f t="shared" si="94"/>
        <v>0.94736842105263153</v>
      </c>
      <c r="X180" s="69">
        <f t="shared" si="95"/>
        <v>0.84210526315789469</v>
      </c>
      <c r="Y180" s="69">
        <f t="shared" si="96"/>
        <v>0.2807017543859649</v>
      </c>
      <c r="Z180" s="69">
        <f t="shared" si="97"/>
        <v>0.70175438596491224</v>
      </c>
      <c r="AA180" s="69">
        <f t="shared" si="98"/>
        <v>0</v>
      </c>
      <c r="AB180" s="69">
        <f t="shared" si="99"/>
        <v>0.98245614035087714</v>
      </c>
      <c r="AC180" s="69">
        <f t="shared" si="100"/>
        <v>0</v>
      </c>
      <c r="AD180" s="70">
        <f t="shared" si="101"/>
        <v>1.0526315789473684</v>
      </c>
      <c r="AE180" s="71">
        <f t="shared" si="102"/>
        <v>0.7</v>
      </c>
      <c r="AF180" s="71">
        <f t="shared" ca="1" si="103"/>
        <v>0.7</v>
      </c>
      <c r="AG180" s="72">
        <f t="shared" ca="1" si="104"/>
        <v>0.69999999999999984</v>
      </c>
      <c r="AH180" s="177">
        <f t="shared" si="105"/>
        <v>4.807017543859649</v>
      </c>
      <c r="AI180" s="185">
        <f t="shared" ca="1" si="106"/>
        <v>33.649122807017534</v>
      </c>
      <c r="AJ180" s="179" t="str">
        <f t="shared" ca="1" si="107"/>
        <v>Q4</v>
      </c>
      <c r="AK180" s="90" t="s">
        <v>329</v>
      </c>
      <c r="AL180" s="195"/>
      <c r="AM180" s="103"/>
      <c r="AN180" s="103"/>
      <c r="AO180" s="103"/>
      <c r="AP180" s="108"/>
      <c r="AQ180" s="299"/>
      <c r="AR180" s="295"/>
      <c r="AS180" s="164"/>
      <c r="AT180" s="164"/>
      <c r="AU180" s="320"/>
      <c r="AV180" s="324"/>
      <c r="AW180" s="89"/>
    </row>
    <row r="181" spans="1:49" ht="36" customHeight="1">
      <c r="A181" s="5">
        <v>185</v>
      </c>
      <c r="B181" s="229">
        <v>177</v>
      </c>
      <c r="C181" s="6" t="s">
        <v>18</v>
      </c>
      <c r="D181" s="133" t="s">
        <v>7</v>
      </c>
      <c r="E181" s="18" t="s">
        <v>138</v>
      </c>
      <c r="F181" s="19" t="s">
        <v>578</v>
      </c>
      <c r="G181" s="20" t="s">
        <v>139</v>
      </c>
      <c r="H181" s="215">
        <v>84000</v>
      </c>
      <c r="I181" s="51">
        <v>4</v>
      </c>
      <c r="J181" s="56">
        <v>0.5</v>
      </c>
      <c r="K181" s="50"/>
      <c r="L181" s="57"/>
      <c r="M181" s="62">
        <v>8.0000000000000053</v>
      </c>
      <c r="N181" s="63">
        <v>6.0000000000000036</v>
      </c>
      <c r="O181" s="63">
        <v>4.0000000000000027</v>
      </c>
      <c r="P181" s="63">
        <v>8.0000000000000053</v>
      </c>
      <c r="Q181" s="63">
        <v>6.0000000000000036</v>
      </c>
      <c r="R181" s="63">
        <v>4.0000000000000027</v>
      </c>
      <c r="S181" s="63">
        <v>2</v>
      </c>
      <c r="T181" s="64">
        <v>8.0000000000000053</v>
      </c>
      <c r="U181" s="67" t="e">
        <f t="shared" ca="1" si="92"/>
        <v>#DIV/0!</v>
      </c>
      <c r="V181" s="67">
        <f t="shared" ca="1" si="93"/>
        <v>0.5</v>
      </c>
      <c r="W181" s="69">
        <f t="shared" si="94"/>
        <v>1.2631578947368429</v>
      </c>
      <c r="X181" s="69">
        <f t="shared" si="95"/>
        <v>0.63157894736842146</v>
      </c>
      <c r="Y181" s="69">
        <f t="shared" si="96"/>
        <v>0.56140350877193024</v>
      </c>
      <c r="Z181" s="69">
        <f t="shared" si="97"/>
        <v>1.4035087719298256</v>
      </c>
      <c r="AA181" s="69">
        <f t="shared" si="98"/>
        <v>0.52631578947368451</v>
      </c>
      <c r="AB181" s="69">
        <f t="shared" si="99"/>
        <v>0.4912280701754389</v>
      </c>
      <c r="AC181" s="69">
        <f t="shared" si="100"/>
        <v>0.21052631578947367</v>
      </c>
      <c r="AD181" s="70">
        <f t="shared" si="101"/>
        <v>0.84210526315789525</v>
      </c>
      <c r="AE181" s="71">
        <f t="shared" si="102"/>
        <v>0.6</v>
      </c>
      <c r="AF181" s="71">
        <f t="shared" ca="1" si="103"/>
        <v>0.5</v>
      </c>
      <c r="AG181" s="72">
        <f t="shared" ca="1" si="104"/>
        <v>0.56666666666666665</v>
      </c>
      <c r="AH181" s="177">
        <f t="shared" si="105"/>
        <v>5.9298245614035121</v>
      </c>
      <c r="AI181" s="185">
        <f t="shared" ca="1" si="106"/>
        <v>33.602339181286567</v>
      </c>
      <c r="AJ181" s="179" t="str">
        <f t="shared" ref="AJ181:AJ212" ca="1" si="108">IF(AG181&gt;$AG$2,IF(AH181&gt;$AH$2,"Q1","Q2"),IF(AH181&gt;$AH$2,"Q3","Q4"))</f>
        <v>Q4</v>
      </c>
      <c r="AK181" s="90" t="s">
        <v>329</v>
      </c>
      <c r="AL181" s="194"/>
      <c r="AM181" s="103"/>
      <c r="AN181" s="103"/>
      <c r="AO181" s="103"/>
      <c r="AP181" s="108"/>
      <c r="AQ181" s="299"/>
      <c r="AR181" s="295"/>
      <c r="AS181" s="164"/>
      <c r="AT181" s="164"/>
      <c r="AU181" s="320"/>
      <c r="AV181" s="324"/>
      <c r="AW181" s="89"/>
    </row>
    <row r="182" spans="1:49" ht="36" customHeight="1">
      <c r="A182" s="5">
        <v>158</v>
      </c>
      <c r="B182" s="229">
        <v>178</v>
      </c>
      <c r="C182" s="6" t="s">
        <v>20</v>
      </c>
      <c r="D182" s="133" t="s">
        <v>7</v>
      </c>
      <c r="E182" s="18" t="s">
        <v>108</v>
      </c>
      <c r="F182" s="20" t="s">
        <v>109</v>
      </c>
      <c r="G182" s="20" t="s">
        <v>110</v>
      </c>
      <c r="H182" s="215">
        <v>103000</v>
      </c>
      <c r="I182" s="51">
        <v>4</v>
      </c>
      <c r="J182" s="56">
        <v>0.2</v>
      </c>
      <c r="K182" s="50"/>
      <c r="L182" s="57"/>
      <c r="M182" s="62">
        <v>8.0000000000000053</v>
      </c>
      <c r="N182" s="63">
        <v>1</v>
      </c>
      <c r="O182" s="63">
        <v>7.0000000000000044</v>
      </c>
      <c r="P182" s="63">
        <v>4.0000000000000027</v>
      </c>
      <c r="Q182" s="63">
        <v>8.0000000000000053</v>
      </c>
      <c r="R182" s="63">
        <v>1</v>
      </c>
      <c r="S182" s="63">
        <v>3</v>
      </c>
      <c r="T182" s="64">
        <v>8.0000000000000053</v>
      </c>
      <c r="U182" s="67" t="e">
        <f t="shared" ca="1" si="92"/>
        <v>#DIV/0!</v>
      </c>
      <c r="V182" s="67">
        <f t="shared" ca="1" si="93"/>
        <v>0.2</v>
      </c>
      <c r="W182" s="69">
        <f t="shared" si="94"/>
        <v>1.2631578947368429</v>
      </c>
      <c r="X182" s="69">
        <f t="shared" si="95"/>
        <v>0.10526315789473684</v>
      </c>
      <c r="Y182" s="69">
        <f t="shared" si="96"/>
        <v>0.9824561403508778</v>
      </c>
      <c r="Z182" s="69">
        <f t="shared" si="97"/>
        <v>0.7017543859649128</v>
      </c>
      <c r="AA182" s="69">
        <f t="shared" si="98"/>
        <v>0.7017543859649128</v>
      </c>
      <c r="AB182" s="69">
        <f t="shared" si="99"/>
        <v>0.12280701754385964</v>
      </c>
      <c r="AC182" s="69">
        <f t="shared" si="100"/>
        <v>0.31578947368421051</v>
      </c>
      <c r="AD182" s="70">
        <f t="shared" si="101"/>
        <v>0.84210526315789525</v>
      </c>
      <c r="AE182" s="71">
        <f t="shared" si="102"/>
        <v>0.6</v>
      </c>
      <c r="AF182" s="71">
        <f t="shared" ca="1" si="103"/>
        <v>0.8</v>
      </c>
      <c r="AG182" s="72">
        <f t="shared" ca="1" si="104"/>
        <v>0.66666666666666663</v>
      </c>
      <c r="AH182" s="177">
        <f t="shared" si="105"/>
        <v>5.0350877192982484</v>
      </c>
      <c r="AI182" s="185">
        <f t="shared" ca="1" si="106"/>
        <v>33.56725146198832</v>
      </c>
      <c r="AJ182" s="179" t="str">
        <f t="shared" ca="1" si="108"/>
        <v>Q4</v>
      </c>
      <c r="AK182" s="90" t="s">
        <v>329</v>
      </c>
      <c r="AL182" s="194"/>
      <c r="AM182" s="103"/>
      <c r="AN182" s="103"/>
      <c r="AO182" s="103"/>
      <c r="AP182" s="108"/>
      <c r="AQ182" s="299"/>
      <c r="AR182" s="295"/>
      <c r="AS182" s="164"/>
      <c r="AT182" s="164"/>
      <c r="AU182" s="320"/>
      <c r="AV182" s="324"/>
      <c r="AW182" s="89"/>
    </row>
    <row r="183" spans="1:49" ht="36" customHeight="1">
      <c r="A183" s="5">
        <v>168</v>
      </c>
      <c r="B183" s="229">
        <v>179</v>
      </c>
      <c r="C183" s="6" t="s">
        <v>6</v>
      </c>
      <c r="D183" s="133" t="s">
        <v>7</v>
      </c>
      <c r="E183" s="7" t="s">
        <v>125</v>
      </c>
      <c r="F183" s="9" t="s">
        <v>656</v>
      </c>
      <c r="G183" s="8"/>
      <c r="H183" s="213">
        <v>210000</v>
      </c>
      <c r="I183" s="50">
        <v>4</v>
      </c>
      <c r="J183" s="56">
        <v>0.3</v>
      </c>
      <c r="K183" s="50"/>
      <c r="L183" s="57"/>
      <c r="M183" s="62">
        <v>6.0000000000000036</v>
      </c>
      <c r="N183" s="63">
        <v>7.0000000000000044</v>
      </c>
      <c r="O183" s="63">
        <v>4.0000000000000027</v>
      </c>
      <c r="P183" s="63">
        <v>6.0000000000000036</v>
      </c>
      <c r="Q183" s="63">
        <v>6.0000000000000036</v>
      </c>
      <c r="R183" s="63">
        <v>6.0000000000000036</v>
      </c>
      <c r="S183" s="63">
        <v>1</v>
      </c>
      <c r="T183" s="64">
        <v>6.0000000000000036</v>
      </c>
      <c r="U183" s="67" t="e">
        <f t="shared" ca="1" si="92"/>
        <v>#DIV/0!</v>
      </c>
      <c r="V183" s="67">
        <f t="shared" ca="1" si="93"/>
        <v>0.3</v>
      </c>
      <c r="W183" s="69">
        <f t="shared" si="94"/>
        <v>0.94736842105263208</v>
      </c>
      <c r="X183" s="69">
        <f t="shared" si="95"/>
        <v>0.73684210526315841</v>
      </c>
      <c r="Y183" s="69">
        <f t="shared" si="96"/>
        <v>0.56140350877193024</v>
      </c>
      <c r="Z183" s="69">
        <f t="shared" si="97"/>
        <v>1.052631578947369</v>
      </c>
      <c r="AA183" s="69">
        <f t="shared" si="98"/>
        <v>0.52631578947368451</v>
      </c>
      <c r="AB183" s="69">
        <f t="shared" si="99"/>
        <v>0.73684210526315841</v>
      </c>
      <c r="AC183" s="69">
        <f t="shared" si="100"/>
        <v>0.10526315789473684</v>
      </c>
      <c r="AD183" s="70">
        <f t="shared" si="101"/>
        <v>0.63157894736842146</v>
      </c>
      <c r="AE183" s="71">
        <f t="shared" si="102"/>
        <v>0.6</v>
      </c>
      <c r="AF183" s="71">
        <f t="shared" ca="1" si="103"/>
        <v>0.7</v>
      </c>
      <c r="AG183" s="72">
        <f t="shared" ca="1" si="104"/>
        <v>0.6333333333333333</v>
      </c>
      <c r="AH183" s="177">
        <f t="shared" si="105"/>
        <v>5.2982456140350918</v>
      </c>
      <c r="AI183" s="185">
        <f t="shared" ca="1" si="106"/>
        <v>33.555555555555578</v>
      </c>
      <c r="AJ183" s="179" t="str">
        <f t="shared" ca="1" si="108"/>
        <v>Q4</v>
      </c>
      <c r="AK183" s="88" t="s">
        <v>329</v>
      </c>
      <c r="AL183" s="193"/>
      <c r="AM183" s="103"/>
      <c r="AN183" s="103"/>
      <c r="AO183" s="103"/>
      <c r="AP183" s="108"/>
      <c r="AQ183" s="299"/>
      <c r="AR183" s="295"/>
      <c r="AS183" s="164"/>
      <c r="AT183" s="164"/>
      <c r="AU183" s="320"/>
      <c r="AV183" s="324"/>
      <c r="AW183" s="89"/>
    </row>
    <row r="184" spans="1:49" ht="36" customHeight="1">
      <c r="A184" s="5">
        <v>167</v>
      </c>
      <c r="B184" s="229">
        <v>180</v>
      </c>
      <c r="C184" s="6" t="s">
        <v>18</v>
      </c>
      <c r="D184" s="133" t="s">
        <v>7</v>
      </c>
      <c r="E184" s="18" t="s">
        <v>122</v>
      </c>
      <c r="F184" s="20" t="s">
        <v>123</v>
      </c>
      <c r="G184" s="20" t="s">
        <v>124</v>
      </c>
      <c r="H184" s="215">
        <v>108000</v>
      </c>
      <c r="I184" s="51">
        <v>4</v>
      </c>
      <c r="J184" s="56">
        <v>0.3</v>
      </c>
      <c r="K184" s="50"/>
      <c r="L184" s="57"/>
      <c r="M184" s="62">
        <v>6.0000000000000036</v>
      </c>
      <c r="N184" s="63">
        <v>6.0000000000000036</v>
      </c>
      <c r="O184" s="63">
        <v>4.0000000000000027</v>
      </c>
      <c r="P184" s="63">
        <v>8.0000000000000053</v>
      </c>
      <c r="Q184" s="63">
        <v>6.0000000000000036</v>
      </c>
      <c r="R184" s="63">
        <v>4.0000000000000027</v>
      </c>
      <c r="S184" s="63">
        <v>1</v>
      </c>
      <c r="T184" s="64">
        <v>6.0000000000000036</v>
      </c>
      <c r="U184" s="67" t="e">
        <f t="shared" ca="1" si="92"/>
        <v>#DIV/0!</v>
      </c>
      <c r="V184" s="67">
        <f t="shared" ca="1" si="93"/>
        <v>0.3</v>
      </c>
      <c r="W184" s="69">
        <f t="shared" si="94"/>
        <v>0.94736842105263208</v>
      </c>
      <c r="X184" s="69">
        <f t="shared" si="95"/>
        <v>0.63157894736842146</v>
      </c>
      <c r="Y184" s="69">
        <f t="shared" si="96"/>
        <v>0.56140350877193024</v>
      </c>
      <c r="Z184" s="69">
        <f t="shared" si="97"/>
        <v>1.4035087719298256</v>
      </c>
      <c r="AA184" s="69">
        <f t="shared" si="98"/>
        <v>0.52631578947368451</v>
      </c>
      <c r="AB184" s="69">
        <f t="shared" si="99"/>
        <v>0.4912280701754389</v>
      </c>
      <c r="AC184" s="69">
        <f t="shared" si="100"/>
        <v>0.10526315789473684</v>
      </c>
      <c r="AD184" s="70">
        <f t="shared" si="101"/>
        <v>0.63157894736842146</v>
      </c>
      <c r="AE184" s="71">
        <f t="shared" si="102"/>
        <v>0.6</v>
      </c>
      <c r="AF184" s="71">
        <f t="shared" ca="1" si="103"/>
        <v>0.7</v>
      </c>
      <c r="AG184" s="72">
        <f t="shared" ca="1" si="104"/>
        <v>0.6333333333333333</v>
      </c>
      <c r="AH184" s="177">
        <f t="shared" si="105"/>
        <v>5.2982456140350909</v>
      </c>
      <c r="AI184" s="185">
        <f t="shared" ca="1" si="106"/>
        <v>33.555555555555571</v>
      </c>
      <c r="AJ184" s="179" t="str">
        <f t="shared" ca="1" si="108"/>
        <v>Q4</v>
      </c>
      <c r="AK184" s="90" t="s">
        <v>329</v>
      </c>
      <c r="AL184" s="101"/>
      <c r="AM184" s="269"/>
      <c r="AN184" s="103"/>
      <c r="AO184" s="103"/>
      <c r="AP184" s="108"/>
      <c r="AQ184" s="299"/>
      <c r="AR184" s="165"/>
      <c r="AS184" s="164"/>
      <c r="AT184" s="164"/>
      <c r="AU184" s="320"/>
      <c r="AV184" s="324"/>
      <c r="AW184" s="89"/>
    </row>
    <row r="185" spans="1:49" s="124" customFormat="1" ht="36" customHeight="1">
      <c r="A185" s="5">
        <v>164</v>
      </c>
      <c r="B185" s="229">
        <v>181</v>
      </c>
      <c r="C185" s="6" t="s">
        <v>20</v>
      </c>
      <c r="D185" s="133" t="s">
        <v>384</v>
      </c>
      <c r="E185" s="29" t="s">
        <v>118</v>
      </c>
      <c r="F185" s="23" t="s">
        <v>453</v>
      </c>
      <c r="G185" s="13" t="s">
        <v>48</v>
      </c>
      <c r="H185" s="213">
        <v>500000</v>
      </c>
      <c r="I185" s="51">
        <v>4</v>
      </c>
      <c r="J185" s="56">
        <v>0.3</v>
      </c>
      <c r="K185" s="50"/>
      <c r="L185" s="57"/>
      <c r="M185" s="62">
        <v>6.0000000000000036</v>
      </c>
      <c r="N185" s="63">
        <v>6.0000000000000036</v>
      </c>
      <c r="O185" s="63">
        <v>6.0000000000000036</v>
      </c>
      <c r="P185" s="63">
        <v>6.0000000000000036</v>
      </c>
      <c r="Q185" s="63">
        <v>4.0000000000000027</v>
      </c>
      <c r="R185" s="63">
        <v>6.0000000000000036</v>
      </c>
      <c r="S185" s="63">
        <v>0</v>
      </c>
      <c r="T185" s="64">
        <v>7</v>
      </c>
      <c r="U185" s="67" t="e">
        <f t="shared" ca="1" si="92"/>
        <v>#DIV/0!</v>
      </c>
      <c r="V185" s="67">
        <f t="shared" ca="1" si="93"/>
        <v>0.3</v>
      </c>
      <c r="W185" s="69">
        <f t="shared" si="94"/>
        <v>0.94736842105263208</v>
      </c>
      <c r="X185" s="69">
        <f t="shared" si="95"/>
        <v>0.63157894736842146</v>
      </c>
      <c r="Y185" s="69">
        <f t="shared" si="96"/>
        <v>0.84210526315789525</v>
      </c>
      <c r="Z185" s="69">
        <f t="shared" si="97"/>
        <v>1.052631578947369</v>
      </c>
      <c r="AA185" s="69">
        <f t="shared" si="98"/>
        <v>0.3508771929824564</v>
      </c>
      <c r="AB185" s="69">
        <f t="shared" si="99"/>
        <v>0.73684210526315841</v>
      </c>
      <c r="AC185" s="69">
        <f t="shared" si="100"/>
        <v>0</v>
      </c>
      <c r="AD185" s="70">
        <f t="shared" si="101"/>
        <v>0.73684210526315785</v>
      </c>
      <c r="AE185" s="71">
        <f t="shared" si="102"/>
        <v>0.6</v>
      </c>
      <c r="AF185" s="71">
        <f t="shared" ca="1" si="103"/>
        <v>0.7</v>
      </c>
      <c r="AG185" s="72">
        <f t="shared" ca="1" si="104"/>
        <v>0.6333333333333333</v>
      </c>
      <c r="AH185" s="177">
        <f t="shared" si="105"/>
        <v>5.29824561403509</v>
      </c>
      <c r="AI185" s="185">
        <f t="shared" ca="1" si="106"/>
        <v>33.555555555555571</v>
      </c>
      <c r="AJ185" s="179" t="str">
        <f t="shared" ca="1" si="108"/>
        <v>Q4</v>
      </c>
      <c r="AK185" s="90" t="s">
        <v>430</v>
      </c>
      <c r="AL185" s="101"/>
      <c r="AM185" s="268"/>
      <c r="AN185" s="103"/>
      <c r="AO185" s="103"/>
      <c r="AP185" s="108"/>
      <c r="AQ185" s="299"/>
      <c r="AR185" s="327"/>
      <c r="AS185" s="164"/>
      <c r="AT185" s="164"/>
      <c r="AU185" s="320"/>
      <c r="AV185" s="324"/>
      <c r="AW185" s="89"/>
    </row>
    <row r="186" spans="1:49" ht="36" customHeight="1">
      <c r="A186" s="1">
        <v>165</v>
      </c>
      <c r="B186" s="229">
        <v>182</v>
      </c>
      <c r="C186" s="2" t="s">
        <v>20</v>
      </c>
      <c r="D186" s="132" t="s">
        <v>384</v>
      </c>
      <c r="E186" s="207" t="s">
        <v>119</v>
      </c>
      <c r="F186" s="23" t="s">
        <v>452</v>
      </c>
      <c r="G186" s="182" t="s">
        <v>48</v>
      </c>
      <c r="H186" s="212">
        <v>500000</v>
      </c>
      <c r="I186" s="142">
        <v>4</v>
      </c>
      <c r="J186" s="139">
        <v>0.3</v>
      </c>
      <c r="K186" s="138"/>
      <c r="L186" s="140"/>
      <c r="M186" s="62">
        <v>6.0000000000000036</v>
      </c>
      <c r="N186" s="63">
        <v>6.0000000000000036</v>
      </c>
      <c r="O186" s="63">
        <v>6.0000000000000036</v>
      </c>
      <c r="P186" s="63">
        <v>6.0000000000000036</v>
      </c>
      <c r="Q186" s="63">
        <v>4.0000000000000027</v>
      </c>
      <c r="R186" s="63">
        <v>6.0000000000000036</v>
      </c>
      <c r="S186" s="63">
        <v>0</v>
      </c>
      <c r="T186" s="64">
        <v>7</v>
      </c>
      <c r="U186" s="141" t="e">
        <f t="shared" ca="1" si="92"/>
        <v>#DIV/0!</v>
      </c>
      <c r="V186" s="141">
        <f t="shared" ca="1" si="93"/>
        <v>0.3</v>
      </c>
      <c r="W186" s="69">
        <f t="shared" si="94"/>
        <v>0.94736842105263208</v>
      </c>
      <c r="X186" s="69">
        <f t="shared" si="95"/>
        <v>0.63157894736842146</v>
      </c>
      <c r="Y186" s="69">
        <f t="shared" si="96"/>
        <v>0.84210526315789525</v>
      </c>
      <c r="Z186" s="69">
        <f t="shared" si="97"/>
        <v>1.052631578947369</v>
      </c>
      <c r="AA186" s="69">
        <f t="shared" si="98"/>
        <v>0.3508771929824564</v>
      </c>
      <c r="AB186" s="69">
        <f t="shared" si="99"/>
        <v>0.73684210526315841</v>
      </c>
      <c r="AC186" s="69">
        <f t="shared" si="100"/>
        <v>0</v>
      </c>
      <c r="AD186" s="70">
        <f t="shared" si="101"/>
        <v>0.73684210526315785</v>
      </c>
      <c r="AE186" s="71">
        <f t="shared" si="102"/>
        <v>0.6</v>
      </c>
      <c r="AF186" s="71">
        <f t="shared" ca="1" si="103"/>
        <v>0.7</v>
      </c>
      <c r="AG186" s="72">
        <f t="shared" ca="1" si="104"/>
        <v>0.6333333333333333</v>
      </c>
      <c r="AH186" s="176">
        <f t="shared" si="105"/>
        <v>5.29824561403509</v>
      </c>
      <c r="AI186" s="184">
        <f t="shared" ca="1" si="106"/>
        <v>33.555555555555571</v>
      </c>
      <c r="AJ186" s="179" t="str">
        <f t="shared" ca="1" si="108"/>
        <v>Q4</v>
      </c>
      <c r="AK186" s="135" t="s">
        <v>430</v>
      </c>
      <c r="AL186" s="101"/>
      <c r="AM186" s="268"/>
      <c r="AN186" s="103"/>
      <c r="AO186" s="103"/>
      <c r="AP186" s="108"/>
      <c r="AQ186" s="299"/>
      <c r="AR186" s="327"/>
      <c r="AS186" s="164"/>
      <c r="AT186" s="164"/>
      <c r="AU186" s="320"/>
      <c r="AV186" s="324"/>
      <c r="AW186" s="87"/>
    </row>
    <row r="187" spans="1:49" ht="36" customHeight="1">
      <c r="A187" s="5">
        <v>128</v>
      </c>
      <c r="B187" s="229">
        <v>183</v>
      </c>
      <c r="C187" s="6" t="s">
        <v>26</v>
      </c>
      <c r="D187" s="133" t="s">
        <v>546</v>
      </c>
      <c r="E187" s="10" t="s">
        <v>76</v>
      </c>
      <c r="F187" s="11" t="s">
        <v>77</v>
      </c>
      <c r="G187" s="17" t="s">
        <v>78</v>
      </c>
      <c r="H187" s="213">
        <v>210000</v>
      </c>
      <c r="I187" s="50">
        <v>3</v>
      </c>
      <c r="J187" s="56">
        <v>0.3</v>
      </c>
      <c r="K187" s="50"/>
      <c r="L187" s="57"/>
      <c r="M187" s="62">
        <v>5</v>
      </c>
      <c r="N187" s="63">
        <v>7</v>
      </c>
      <c r="O187" s="63">
        <v>6</v>
      </c>
      <c r="P187" s="63">
        <v>4</v>
      </c>
      <c r="Q187" s="63">
        <v>3</v>
      </c>
      <c r="R187" s="63">
        <v>5</v>
      </c>
      <c r="S187" s="63">
        <v>0</v>
      </c>
      <c r="T187" s="64">
        <v>8.0000000000000053</v>
      </c>
      <c r="U187" s="67" t="e">
        <f t="shared" ref="U187:U250" ca="1" si="109">(L187-(YEAR(TODAY())-K187))/L187</f>
        <v>#DIV/0!</v>
      </c>
      <c r="V187" s="67">
        <f t="shared" ref="V187:V250" ca="1" si="110">IFERROR(U187,J187)</f>
        <v>0.3</v>
      </c>
      <c r="W187" s="69">
        <f t="shared" ref="W187:W250" si="111">M187*Weight1/(WSum)</f>
        <v>0.78947368421052633</v>
      </c>
      <c r="X187" s="69">
        <f t="shared" ref="X187:X250" si="112">N187*Weight2/(WSum)</f>
        <v>0.73684210526315785</v>
      </c>
      <c r="Y187" s="69">
        <f t="shared" ref="Y187:Y250" si="113">O187*Weight3/(WSum)</f>
        <v>0.84210526315789469</v>
      </c>
      <c r="Z187" s="69">
        <f t="shared" ref="Z187:Z250" si="114">P187*Weight4/(WSum)</f>
        <v>0.70175438596491224</v>
      </c>
      <c r="AA187" s="69">
        <f t="shared" ref="AA187:AA250" si="115">Q187*Weight5/(WSum)</f>
        <v>0.26315789473684209</v>
      </c>
      <c r="AB187" s="69">
        <f t="shared" ref="AB187:AB250" si="116">R187*Weight6/(WSum)</f>
        <v>0.61403508771929827</v>
      </c>
      <c r="AC187" s="69">
        <f t="shared" ref="AC187:AC250" si="117">S187*Weight7/(WSum)</f>
        <v>0</v>
      </c>
      <c r="AD187" s="70">
        <f t="shared" ref="AD187:AD250" si="118">T187*Weight8/(WSum)</f>
        <v>0.84210526315789525</v>
      </c>
      <c r="AE187" s="71">
        <f t="shared" ref="AE187:AE250" si="119">-1/10*I187+1</f>
        <v>0.7</v>
      </c>
      <c r="AF187" s="71">
        <f t="shared" ref="AF187:AF250" ca="1" si="120">IF(V187&lt;0,0,-V187+1)</f>
        <v>0.7</v>
      </c>
      <c r="AG187" s="72">
        <f t="shared" ref="AG187:AG250" ca="1" si="121">(AE187*CondWeight+AF187*PLifeWeight)/(CondWeight+PLifeWeight)</f>
        <v>0.69999999999999984</v>
      </c>
      <c r="AH187" s="177">
        <f t="shared" ref="AH187:AH250" si="122">SUM(W187:AD187)</f>
        <v>4.7894736842105265</v>
      </c>
      <c r="AI187" s="185">
        <f t="shared" ref="AI187:AI250" ca="1" si="123">AH187*AG187*10</f>
        <v>33.526315789473678</v>
      </c>
      <c r="AJ187" s="179" t="str">
        <f t="shared" ca="1" si="108"/>
        <v>Q4</v>
      </c>
      <c r="AK187" s="88" t="s">
        <v>329</v>
      </c>
      <c r="AL187" s="100"/>
      <c r="AM187" s="268"/>
      <c r="AN187" s="103"/>
      <c r="AO187" s="108"/>
      <c r="AP187" s="199"/>
      <c r="AQ187" s="299"/>
      <c r="AR187" s="327"/>
      <c r="AS187" s="164"/>
      <c r="AT187" s="164"/>
      <c r="AU187" s="320"/>
      <c r="AV187" s="324"/>
      <c r="AW187" s="89"/>
    </row>
    <row r="188" spans="1:49" ht="36" customHeight="1">
      <c r="A188" s="5"/>
      <c r="B188" s="229">
        <v>184</v>
      </c>
      <c r="C188" s="6" t="s">
        <v>20</v>
      </c>
      <c r="D188" s="133" t="s">
        <v>385</v>
      </c>
      <c r="E188" s="21" t="s">
        <v>620</v>
      </c>
      <c r="F188" s="17" t="s">
        <v>628</v>
      </c>
      <c r="G188" s="20"/>
      <c r="H188" s="215">
        <v>150000</v>
      </c>
      <c r="I188" s="51">
        <v>3</v>
      </c>
      <c r="J188" s="56">
        <v>0.3</v>
      </c>
      <c r="K188" s="50"/>
      <c r="L188" s="57"/>
      <c r="M188" s="62">
        <v>4</v>
      </c>
      <c r="N188" s="63">
        <v>6</v>
      </c>
      <c r="O188" s="63">
        <v>5</v>
      </c>
      <c r="P188" s="63">
        <v>6</v>
      </c>
      <c r="Q188" s="63">
        <v>6</v>
      </c>
      <c r="R188" s="63">
        <v>5</v>
      </c>
      <c r="S188" s="63">
        <v>1</v>
      </c>
      <c r="T188" s="64">
        <v>5</v>
      </c>
      <c r="U188" s="67" t="e">
        <f t="shared" ca="1" si="109"/>
        <v>#DIV/0!</v>
      </c>
      <c r="V188" s="67">
        <f t="shared" ca="1" si="110"/>
        <v>0.3</v>
      </c>
      <c r="W188" s="69">
        <f t="shared" si="111"/>
        <v>0.63157894736842102</v>
      </c>
      <c r="X188" s="69">
        <f t="shared" si="112"/>
        <v>0.63157894736842102</v>
      </c>
      <c r="Y188" s="69">
        <f t="shared" si="113"/>
        <v>0.70175438596491224</v>
      </c>
      <c r="Z188" s="69">
        <f t="shared" si="114"/>
        <v>1.0526315789473684</v>
      </c>
      <c r="AA188" s="69">
        <f t="shared" si="115"/>
        <v>0.52631578947368418</v>
      </c>
      <c r="AB188" s="69">
        <f t="shared" si="116"/>
        <v>0.61403508771929827</v>
      </c>
      <c r="AC188" s="69">
        <f t="shared" si="117"/>
        <v>0.10526315789473684</v>
      </c>
      <c r="AD188" s="70">
        <f t="shared" si="118"/>
        <v>0.52631578947368418</v>
      </c>
      <c r="AE188" s="71">
        <f t="shared" si="119"/>
        <v>0.7</v>
      </c>
      <c r="AF188" s="71">
        <f t="shared" ca="1" si="120"/>
        <v>0.7</v>
      </c>
      <c r="AG188" s="72">
        <f t="shared" ca="1" si="121"/>
        <v>0.69999999999999984</v>
      </c>
      <c r="AH188" s="177">
        <f t="shared" si="122"/>
        <v>4.7894736842105257</v>
      </c>
      <c r="AI188" s="185">
        <f t="shared" ca="1" si="123"/>
        <v>33.526315789473671</v>
      </c>
      <c r="AJ188" s="179" t="str">
        <f t="shared" ca="1" si="108"/>
        <v>Q4</v>
      </c>
      <c r="AK188" s="90" t="s">
        <v>329</v>
      </c>
      <c r="AL188" s="195"/>
      <c r="AM188" s="103"/>
      <c r="AN188" s="103"/>
      <c r="AO188" s="103"/>
      <c r="AP188" s="108"/>
      <c r="AQ188" s="299"/>
      <c r="AR188" s="295"/>
      <c r="AS188" s="164"/>
      <c r="AT188" s="164"/>
      <c r="AU188" s="320"/>
      <c r="AV188" s="324"/>
      <c r="AW188" s="89"/>
    </row>
    <row r="189" spans="1:49" s="124" customFormat="1" ht="36" customHeight="1">
      <c r="A189" s="5">
        <v>274</v>
      </c>
      <c r="B189" s="229">
        <v>185</v>
      </c>
      <c r="C189" s="6" t="s">
        <v>12</v>
      </c>
      <c r="D189" s="133" t="s">
        <v>7</v>
      </c>
      <c r="E189" s="12" t="s">
        <v>228</v>
      </c>
      <c r="F189" s="13" t="s">
        <v>461</v>
      </c>
      <c r="G189" s="106" t="s">
        <v>229</v>
      </c>
      <c r="H189" s="213">
        <v>7700000</v>
      </c>
      <c r="I189" s="51">
        <v>5</v>
      </c>
      <c r="J189" s="56">
        <v>0.5</v>
      </c>
      <c r="K189" s="50"/>
      <c r="L189" s="57"/>
      <c r="M189" s="62">
        <v>8.0000000000000053</v>
      </c>
      <c r="N189" s="63">
        <v>8.0000000000000053</v>
      </c>
      <c r="O189" s="63">
        <v>6</v>
      </c>
      <c r="P189" s="63">
        <v>8</v>
      </c>
      <c r="Q189" s="63">
        <v>4.0000000000000027</v>
      </c>
      <c r="R189" s="63">
        <v>6.0000000000000036</v>
      </c>
      <c r="S189" s="63">
        <v>5</v>
      </c>
      <c r="T189" s="64">
        <v>7</v>
      </c>
      <c r="U189" s="67" t="e">
        <f t="shared" ca="1" si="109"/>
        <v>#DIV/0!</v>
      </c>
      <c r="V189" s="67">
        <f t="shared" ca="1" si="110"/>
        <v>0.5</v>
      </c>
      <c r="W189" s="69">
        <f t="shared" si="111"/>
        <v>1.2631578947368429</v>
      </c>
      <c r="X189" s="69">
        <f t="shared" si="112"/>
        <v>0.84210526315789525</v>
      </c>
      <c r="Y189" s="69">
        <f t="shared" si="113"/>
        <v>0.84210526315789469</v>
      </c>
      <c r="Z189" s="69">
        <f t="shared" si="114"/>
        <v>1.4035087719298245</v>
      </c>
      <c r="AA189" s="69">
        <f t="shared" si="115"/>
        <v>0.3508771929824564</v>
      </c>
      <c r="AB189" s="69">
        <f t="shared" si="116"/>
        <v>0.73684210526315841</v>
      </c>
      <c r="AC189" s="69">
        <f t="shared" si="117"/>
        <v>0.52631578947368418</v>
      </c>
      <c r="AD189" s="70">
        <f t="shared" si="118"/>
        <v>0.73684210526315785</v>
      </c>
      <c r="AE189" s="71">
        <f t="shared" si="119"/>
        <v>0.5</v>
      </c>
      <c r="AF189" s="71">
        <f t="shared" ca="1" si="120"/>
        <v>0.5</v>
      </c>
      <c r="AG189" s="72">
        <f t="shared" ca="1" si="121"/>
        <v>0.5</v>
      </c>
      <c r="AH189" s="177">
        <f t="shared" si="122"/>
        <v>6.7017543859649136</v>
      </c>
      <c r="AI189" s="185">
        <f t="shared" ca="1" si="123"/>
        <v>33.508771929824569</v>
      </c>
      <c r="AJ189" s="179" t="str">
        <f t="shared" ca="1" si="108"/>
        <v>Q3</v>
      </c>
      <c r="AK189" s="90" t="s">
        <v>329</v>
      </c>
      <c r="AL189" s="194"/>
      <c r="AM189" s="103"/>
      <c r="AN189" s="103"/>
      <c r="AO189" s="103"/>
      <c r="AP189" s="108"/>
      <c r="AQ189" s="299"/>
      <c r="AR189" s="295"/>
      <c r="AS189" s="164"/>
      <c r="AT189" s="164"/>
      <c r="AU189" s="320"/>
      <c r="AV189" s="324"/>
      <c r="AW189" s="89"/>
    </row>
    <row r="190" spans="1:49" ht="36" customHeight="1">
      <c r="A190" s="1">
        <v>255</v>
      </c>
      <c r="B190" s="229">
        <v>186</v>
      </c>
      <c r="C190" s="2" t="s">
        <v>20</v>
      </c>
      <c r="D190" s="132" t="s">
        <v>7</v>
      </c>
      <c r="E190" s="136" t="s">
        <v>208</v>
      </c>
      <c r="F190" s="20" t="s">
        <v>209</v>
      </c>
      <c r="G190" s="137" t="s">
        <v>210</v>
      </c>
      <c r="H190" s="214">
        <v>235000</v>
      </c>
      <c r="I190" s="142">
        <v>3</v>
      </c>
      <c r="J190" s="139">
        <v>0.1</v>
      </c>
      <c r="K190" s="138"/>
      <c r="L190" s="140"/>
      <c r="M190" s="62">
        <v>6.0000000000000036</v>
      </c>
      <c r="N190" s="63">
        <v>1</v>
      </c>
      <c r="O190" s="63">
        <v>6.0000000000000036</v>
      </c>
      <c r="P190" s="63">
        <v>4.0000000000000027</v>
      </c>
      <c r="Q190" s="63">
        <v>8.0000000000000053</v>
      </c>
      <c r="R190" s="63">
        <v>1</v>
      </c>
      <c r="S190" s="63">
        <v>3</v>
      </c>
      <c r="T190" s="64">
        <v>6.0000000000000036</v>
      </c>
      <c r="U190" s="141" t="e">
        <f t="shared" ca="1" si="109"/>
        <v>#DIV/0!</v>
      </c>
      <c r="V190" s="141">
        <f t="shared" ca="1" si="110"/>
        <v>0.1</v>
      </c>
      <c r="W190" s="69">
        <f t="shared" si="111"/>
        <v>0.94736842105263208</v>
      </c>
      <c r="X190" s="69">
        <f t="shared" si="112"/>
        <v>0.10526315789473684</v>
      </c>
      <c r="Y190" s="69">
        <f t="shared" si="113"/>
        <v>0.84210526315789525</v>
      </c>
      <c r="Z190" s="69">
        <f t="shared" si="114"/>
        <v>0.7017543859649128</v>
      </c>
      <c r="AA190" s="69">
        <f t="shared" si="115"/>
        <v>0.7017543859649128</v>
      </c>
      <c r="AB190" s="69">
        <f t="shared" si="116"/>
        <v>0.12280701754385964</v>
      </c>
      <c r="AC190" s="69">
        <f t="shared" si="117"/>
        <v>0.31578947368421051</v>
      </c>
      <c r="AD190" s="70">
        <f t="shared" si="118"/>
        <v>0.63157894736842146</v>
      </c>
      <c r="AE190" s="71">
        <f t="shared" si="119"/>
        <v>0.7</v>
      </c>
      <c r="AF190" s="71">
        <f t="shared" ca="1" si="120"/>
        <v>0.9</v>
      </c>
      <c r="AG190" s="72">
        <f t="shared" ca="1" si="121"/>
        <v>0.76666666666666661</v>
      </c>
      <c r="AH190" s="176">
        <f t="shared" si="122"/>
        <v>4.3684210526315814</v>
      </c>
      <c r="AI190" s="184">
        <f t="shared" ca="1" si="123"/>
        <v>33.491228070175453</v>
      </c>
      <c r="AJ190" s="179" t="str">
        <f t="shared" ca="1" si="108"/>
        <v>Q2</v>
      </c>
      <c r="AK190" s="135" t="s">
        <v>329</v>
      </c>
      <c r="AL190" s="194"/>
      <c r="AM190" s="103"/>
      <c r="AN190" s="103"/>
      <c r="AO190" s="103"/>
      <c r="AP190" s="108"/>
      <c r="AQ190" s="299"/>
      <c r="AR190" s="295"/>
      <c r="AS190" s="164"/>
      <c r="AT190" s="164"/>
      <c r="AU190" s="320"/>
      <c r="AV190" s="324"/>
      <c r="AW190" s="87"/>
    </row>
    <row r="191" spans="1:49" ht="36" customHeight="1">
      <c r="A191" s="5">
        <v>241</v>
      </c>
      <c r="B191" s="229">
        <v>187</v>
      </c>
      <c r="C191" s="6" t="s">
        <v>42</v>
      </c>
      <c r="D191" s="133" t="s">
        <v>7</v>
      </c>
      <c r="E191" s="18" t="s">
        <v>195</v>
      </c>
      <c r="F191" s="20" t="s">
        <v>196</v>
      </c>
      <c r="G191" s="20" t="s">
        <v>197</v>
      </c>
      <c r="H191" s="215">
        <v>164000</v>
      </c>
      <c r="I191" s="51">
        <v>2</v>
      </c>
      <c r="J191" s="56">
        <v>0.1</v>
      </c>
      <c r="K191" s="50"/>
      <c r="L191" s="57"/>
      <c r="M191" s="62">
        <v>6.0000000000000036</v>
      </c>
      <c r="N191" s="63">
        <v>1</v>
      </c>
      <c r="O191" s="63">
        <v>1</v>
      </c>
      <c r="P191" s="63">
        <v>8.0000000000000053</v>
      </c>
      <c r="Q191" s="63">
        <v>1</v>
      </c>
      <c r="R191" s="63">
        <v>4.0000000000000027</v>
      </c>
      <c r="S191" s="63">
        <v>2</v>
      </c>
      <c r="T191" s="64">
        <v>6.0000000000000036</v>
      </c>
      <c r="U191" s="67" t="e">
        <f t="shared" ca="1" si="109"/>
        <v>#DIV/0!</v>
      </c>
      <c r="V191" s="67">
        <f t="shared" ca="1" si="110"/>
        <v>0.1</v>
      </c>
      <c r="W191" s="69">
        <f t="shared" si="111"/>
        <v>0.94736842105263208</v>
      </c>
      <c r="X191" s="69">
        <f t="shared" si="112"/>
        <v>0.10526315789473684</v>
      </c>
      <c r="Y191" s="69">
        <f t="shared" si="113"/>
        <v>0.14035087719298245</v>
      </c>
      <c r="Z191" s="69">
        <f t="shared" si="114"/>
        <v>1.4035087719298256</v>
      </c>
      <c r="AA191" s="69">
        <f t="shared" si="115"/>
        <v>8.771929824561403E-2</v>
      </c>
      <c r="AB191" s="69">
        <f t="shared" si="116"/>
        <v>0.4912280701754389</v>
      </c>
      <c r="AC191" s="69">
        <f t="shared" si="117"/>
        <v>0.21052631578947367</v>
      </c>
      <c r="AD191" s="70">
        <f t="shared" si="118"/>
        <v>0.63157894736842146</v>
      </c>
      <c r="AE191" s="71">
        <f t="shared" si="119"/>
        <v>0.8</v>
      </c>
      <c r="AF191" s="71">
        <f t="shared" ca="1" si="120"/>
        <v>0.9</v>
      </c>
      <c r="AG191" s="72">
        <f t="shared" ca="1" si="121"/>
        <v>0.83333333333333337</v>
      </c>
      <c r="AH191" s="177">
        <f t="shared" si="122"/>
        <v>4.0175438596491251</v>
      </c>
      <c r="AI191" s="185">
        <f t="shared" ca="1" si="123"/>
        <v>33.479532163742711</v>
      </c>
      <c r="AJ191" s="179" t="str">
        <f t="shared" ca="1" si="108"/>
        <v>Q2</v>
      </c>
      <c r="AK191" s="90" t="s">
        <v>329</v>
      </c>
      <c r="AL191" s="101"/>
      <c r="AM191" s="269"/>
      <c r="AN191" s="103"/>
      <c r="AO191" s="103"/>
      <c r="AP191" s="108"/>
      <c r="AQ191" s="299"/>
      <c r="AR191" s="165"/>
      <c r="AS191" s="164"/>
      <c r="AT191" s="164"/>
      <c r="AU191" s="320"/>
      <c r="AV191" s="324"/>
      <c r="AW191" s="89"/>
    </row>
    <row r="192" spans="1:49" s="126" customFormat="1" ht="36" customHeight="1">
      <c r="A192" s="153">
        <v>350</v>
      </c>
      <c r="B192" s="229">
        <v>188</v>
      </c>
      <c r="C192" s="6" t="s">
        <v>28</v>
      </c>
      <c r="D192" s="168" t="s">
        <v>7</v>
      </c>
      <c r="E192" s="7" t="s">
        <v>435</v>
      </c>
      <c r="F192" s="9" t="s">
        <v>489</v>
      </c>
      <c r="G192" s="8" t="s">
        <v>307</v>
      </c>
      <c r="H192" s="213">
        <v>170000</v>
      </c>
      <c r="I192" s="50">
        <v>3</v>
      </c>
      <c r="J192" s="156">
        <v>0.1</v>
      </c>
      <c r="K192" s="50"/>
      <c r="L192" s="157"/>
      <c r="M192" s="158">
        <v>2</v>
      </c>
      <c r="N192" s="159">
        <v>4</v>
      </c>
      <c r="O192" s="159">
        <v>2</v>
      </c>
      <c r="P192" s="159">
        <v>10</v>
      </c>
      <c r="Q192" s="159">
        <v>8.0000000000000053</v>
      </c>
      <c r="R192" s="159">
        <v>2</v>
      </c>
      <c r="S192" s="159">
        <v>0</v>
      </c>
      <c r="T192" s="160">
        <v>6</v>
      </c>
      <c r="U192" s="67" t="e">
        <f t="shared" ca="1" si="109"/>
        <v>#DIV/0!</v>
      </c>
      <c r="V192" s="67">
        <f t="shared" ca="1" si="110"/>
        <v>0.1</v>
      </c>
      <c r="W192" s="69">
        <f t="shared" si="111"/>
        <v>0.31578947368421051</v>
      </c>
      <c r="X192" s="69">
        <f t="shared" si="112"/>
        <v>0.42105263157894735</v>
      </c>
      <c r="Y192" s="69">
        <f t="shared" si="113"/>
        <v>0.2807017543859649</v>
      </c>
      <c r="Z192" s="69">
        <f t="shared" si="114"/>
        <v>1.7543859649122806</v>
      </c>
      <c r="AA192" s="69">
        <f t="shared" si="115"/>
        <v>0.7017543859649128</v>
      </c>
      <c r="AB192" s="69">
        <f t="shared" si="116"/>
        <v>0.24561403508771928</v>
      </c>
      <c r="AC192" s="69">
        <f t="shared" si="117"/>
        <v>0</v>
      </c>
      <c r="AD192" s="70">
        <f t="shared" si="118"/>
        <v>0.63157894736842102</v>
      </c>
      <c r="AE192" s="71">
        <f t="shared" si="119"/>
        <v>0.7</v>
      </c>
      <c r="AF192" s="71">
        <f t="shared" ca="1" si="120"/>
        <v>0.9</v>
      </c>
      <c r="AG192" s="202">
        <f t="shared" ca="1" si="121"/>
        <v>0.76666666666666661</v>
      </c>
      <c r="AH192" s="177">
        <f t="shared" si="122"/>
        <v>4.3508771929824563</v>
      </c>
      <c r="AI192" s="185">
        <f t="shared" ca="1" si="123"/>
        <v>33.356725146198826</v>
      </c>
      <c r="AJ192" s="179" t="str">
        <f t="shared" ca="1" si="108"/>
        <v>Q2</v>
      </c>
      <c r="AK192" s="88" t="s">
        <v>329</v>
      </c>
      <c r="AL192" s="193"/>
      <c r="AM192" s="103"/>
      <c r="AN192" s="103"/>
      <c r="AO192" s="103"/>
      <c r="AP192" s="108"/>
      <c r="AQ192" s="299"/>
      <c r="AR192" s="295"/>
      <c r="AS192" s="164"/>
      <c r="AT192" s="164"/>
      <c r="AU192" s="320"/>
      <c r="AV192" s="325"/>
      <c r="AW192" s="203"/>
    </row>
    <row r="193" spans="1:49" ht="36" customHeight="1">
      <c r="A193" s="5">
        <v>268</v>
      </c>
      <c r="B193" s="229">
        <v>189</v>
      </c>
      <c r="C193" s="6" t="s">
        <v>8</v>
      </c>
      <c r="D193" s="133" t="s">
        <v>7</v>
      </c>
      <c r="E193" s="18" t="s">
        <v>222</v>
      </c>
      <c r="F193" s="19" t="s">
        <v>650</v>
      </c>
      <c r="G193" s="20"/>
      <c r="H193" s="215">
        <v>137000</v>
      </c>
      <c r="I193" s="51">
        <v>4</v>
      </c>
      <c r="J193" s="56">
        <v>0.2</v>
      </c>
      <c r="K193" s="50"/>
      <c r="L193" s="57"/>
      <c r="M193" s="62">
        <v>8.0000000000000053</v>
      </c>
      <c r="N193" s="63">
        <v>7.0000000000000044</v>
      </c>
      <c r="O193" s="63">
        <v>4.0000000000000027</v>
      </c>
      <c r="P193" s="63">
        <v>5.0000000000000027</v>
      </c>
      <c r="Q193" s="63">
        <v>1</v>
      </c>
      <c r="R193" s="63">
        <v>5.0000000000000027</v>
      </c>
      <c r="S193" s="63">
        <v>1</v>
      </c>
      <c r="T193" s="64">
        <v>7.0000000000000044</v>
      </c>
      <c r="U193" s="67" t="e">
        <f t="shared" ca="1" si="109"/>
        <v>#DIV/0!</v>
      </c>
      <c r="V193" s="67">
        <f t="shared" ca="1" si="110"/>
        <v>0.2</v>
      </c>
      <c r="W193" s="69">
        <f t="shared" si="111"/>
        <v>1.2631578947368429</v>
      </c>
      <c r="X193" s="69">
        <f t="shared" si="112"/>
        <v>0.73684210526315841</v>
      </c>
      <c r="Y193" s="69">
        <f t="shared" si="113"/>
        <v>0.56140350877193024</v>
      </c>
      <c r="Z193" s="69">
        <f t="shared" si="114"/>
        <v>0.87719298245614086</v>
      </c>
      <c r="AA193" s="69">
        <f t="shared" si="115"/>
        <v>8.771929824561403E-2</v>
      </c>
      <c r="AB193" s="69">
        <f t="shared" si="116"/>
        <v>0.6140350877192986</v>
      </c>
      <c r="AC193" s="69">
        <f t="shared" si="117"/>
        <v>0.10526315789473684</v>
      </c>
      <c r="AD193" s="70">
        <f t="shared" si="118"/>
        <v>0.73684210526315841</v>
      </c>
      <c r="AE193" s="71">
        <f t="shared" si="119"/>
        <v>0.6</v>
      </c>
      <c r="AF193" s="71">
        <f t="shared" ca="1" si="120"/>
        <v>0.8</v>
      </c>
      <c r="AG193" s="72">
        <f t="shared" ca="1" si="121"/>
        <v>0.66666666666666663</v>
      </c>
      <c r="AH193" s="177">
        <f t="shared" si="122"/>
        <v>4.9824561403508802</v>
      </c>
      <c r="AI193" s="185">
        <f t="shared" ca="1" si="123"/>
        <v>33.216374269005868</v>
      </c>
      <c r="AJ193" s="179" t="str">
        <f t="shared" ca="1" si="108"/>
        <v>Q4</v>
      </c>
      <c r="AK193" s="90" t="s">
        <v>329</v>
      </c>
      <c r="AL193" s="101"/>
      <c r="AM193" s="269"/>
      <c r="AN193" s="103"/>
      <c r="AO193" s="103"/>
      <c r="AP193" s="108"/>
      <c r="AQ193" s="299"/>
      <c r="AR193" s="165"/>
      <c r="AS193" s="164"/>
      <c r="AT193" s="164"/>
      <c r="AU193" s="320"/>
      <c r="AV193" s="324"/>
      <c r="AW193" s="89"/>
    </row>
    <row r="194" spans="1:49" ht="36" customHeight="1">
      <c r="A194" s="5">
        <v>308</v>
      </c>
      <c r="B194" s="229">
        <v>190</v>
      </c>
      <c r="C194" s="6" t="s">
        <v>6</v>
      </c>
      <c r="D194" s="133" t="s">
        <v>7</v>
      </c>
      <c r="E194" s="7" t="s">
        <v>386</v>
      </c>
      <c r="F194" s="9" t="s">
        <v>515</v>
      </c>
      <c r="G194" s="8"/>
      <c r="H194" s="213">
        <v>160000</v>
      </c>
      <c r="I194" s="50">
        <v>4</v>
      </c>
      <c r="J194" s="56">
        <v>0.3</v>
      </c>
      <c r="K194" s="50"/>
      <c r="L194" s="57"/>
      <c r="M194" s="62">
        <v>6.0000000000000036</v>
      </c>
      <c r="N194" s="63">
        <v>8.0000000000000053</v>
      </c>
      <c r="O194" s="63">
        <v>4.0000000000000027</v>
      </c>
      <c r="P194" s="63">
        <v>4.0000000000000027</v>
      </c>
      <c r="Q194" s="63">
        <v>6.0000000000000036</v>
      </c>
      <c r="R194" s="63">
        <v>4</v>
      </c>
      <c r="S194" s="63">
        <v>5</v>
      </c>
      <c r="T194" s="64">
        <v>6.0000000000000036</v>
      </c>
      <c r="U194" s="67" t="e">
        <f t="shared" ca="1" si="109"/>
        <v>#DIV/0!</v>
      </c>
      <c r="V194" s="67">
        <f t="shared" ca="1" si="110"/>
        <v>0.3</v>
      </c>
      <c r="W194" s="69">
        <f t="shared" si="111"/>
        <v>0.94736842105263208</v>
      </c>
      <c r="X194" s="69">
        <f t="shared" si="112"/>
        <v>0.84210526315789525</v>
      </c>
      <c r="Y194" s="69">
        <f t="shared" si="113"/>
        <v>0.56140350877193024</v>
      </c>
      <c r="Z194" s="69">
        <f t="shared" si="114"/>
        <v>0.7017543859649128</v>
      </c>
      <c r="AA194" s="69">
        <f t="shared" si="115"/>
        <v>0.52631578947368451</v>
      </c>
      <c r="AB194" s="69">
        <f t="shared" si="116"/>
        <v>0.49122807017543857</v>
      </c>
      <c r="AC194" s="69">
        <f t="shared" si="117"/>
        <v>0.52631578947368418</v>
      </c>
      <c r="AD194" s="70">
        <f t="shared" si="118"/>
        <v>0.63157894736842146</v>
      </c>
      <c r="AE194" s="71">
        <f t="shared" si="119"/>
        <v>0.6</v>
      </c>
      <c r="AF194" s="71">
        <f t="shared" ca="1" si="120"/>
        <v>0.7</v>
      </c>
      <c r="AG194" s="72">
        <f t="shared" ca="1" si="121"/>
        <v>0.6333333333333333</v>
      </c>
      <c r="AH194" s="177">
        <f t="shared" si="122"/>
        <v>5.2280701754385985</v>
      </c>
      <c r="AI194" s="185">
        <f t="shared" ca="1" si="123"/>
        <v>33.111111111111121</v>
      </c>
      <c r="AJ194" s="179" t="str">
        <f t="shared" ca="1" si="108"/>
        <v>Q4</v>
      </c>
      <c r="AK194" s="88" t="s">
        <v>329</v>
      </c>
      <c r="AL194" s="192"/>
      <c r="AM194" s="103"/>
      <c r="AN194" s="103"/>
      <c r="AO194" s="103"/>
      <c r="AP194" s="108"/>
      <c r="AQ194" s="299"/>
      <c r="AR194" s="295"/>
      <c r="AS194" s="164"/>
      <c r="AT194" s="164"/>
      <c r="AU194" s="320"/>
      <c r="AV194" s="324"/>
      <c r="AW194" s="89"/>
    </row>
    <row r="195" spans="1:49" ht="36" customHeight="1">
      <c r="A195" s="5"/>
      <c r="B195" s="229">
        <v>191</v>
      </c>
      <c r="C195" s="6" t="s">
        <v>6</v>
      </c>
      <c r="D195" s="133" t="s">
        <v>7</v>
      </c>
      <c r="E195" s="7" t="s">
        <v>537</v>
      </c>
      <c r="F195" s="9" t="s">
        <v>516</v>
      </c>
      <c r="G195" s="119"/>
      <c r="H195" s="215">
        <v>350000</v>
      </c>
      <c r="I195" s="51">
        <v>4</v>
      </c>
      <c r="J195" s="56">
        <v>0.3</v>
      </c>
      <c r="K195" s="50"/>
      <c r="L195" s="57"/>
      <c r="M195" s="62">
        <v>6</v>
      </c>
      <c r="N195" s="63">
        <v>8</v>
      </c>
      <c r="O195" s="63">
        <v>4</v>
      </c>
      <c r="P195" s="63">
        <v>4</v>
      </c>
      <c r="Q195" s="63">
        <v>6</v>
      </c>
      <c r="R195" s="63">
        <v>4</v>
      </c>
      <c r="S195" s="63">
        <v>5</v>
      </c>
      <c r="T195" s="64">
        <v>6</v>
      </c>
      <c r="U195" s="67" t="e">
        <f t="shared" ca="1" si="109"/>
        <v>#DIV/0!</v>
      </c>
      <c r="V195" s="67">
        <f t="shared" ca="1" si="110"/>
        <v>0.3</v>
      </c>
      <c r="W195" s="69">
        <f t="shared" si="111"/>
        <v>0.94736842105263153</v>
      </c>
      <c r="X195" s="69">
        <f t="shared" si="112"/>
        <v>0.84210526315789469</v>
      </c>
      <c r="Y195" s="69">
        <f t="shared" si="113"/>
        <v>0.56140350877192979</v>
      </c>
      <c r="Z195" s="69">
        <f t="shared" si="114"/>
        <v>0.70175438596491224</v>
      </c>
      <c r="AA195" s="69">
        <f t="shared" si="115"/>
        <v>0.52631578947368418</v>
      </c>
      <c r="AB195" s="69">
        <f t="shared" si="116"/>
        <v>0.49122807017543857</v>
      </c>
      <c r="AC195" s="69">
        <f t="shared" si="117"/>
        <v>0.52631578947368418</v>
      </c>
      <c r="AD195" s="70">
        <f t="shared" si="118"/>
        <v>0.63157894736842102</v>
      </c>
      <c r="AE195" s="71">
        <f t="shared" si="119"/>
        <v>0.6</v>
      </c>
      <c r="AF195" s="71">
        <f t="shared" ca="1" si="120"/>
        <v>0.7</v>
      </c>
      <c r="AG195" s="72">
        <f t="shared" ca="1" si="121"/>
        <v>0.6333333333333333</v>
      </c>
      <c r="AH195" s="177">
        <f t="shared" si="122"/>
        <v>5.2280701754385959</v>
      </c>
      <c r="AI195" s="185">
        <f t="shared" ca="1" si="123"/>
        <v>33.111111111111107</v>
      </c>
      <c r="AJ195" s="179" t="str">
        <f t="shared" ca="1" si="108"/>
        <v>Q4</v>
      </c>
      <c r="AK195" s="88" t="s">
        <v>329</v>
      </c>
      <c r="AL195" s="194"/>
      <c r="AM195" s="103"/>
      <c r="AN195" s="103"/>
      <c r="AO195" s="103"/>
      <c r="AP195" s="108"/>
      <c r="AQ195" s="299"/>
      <c r="AR195" s="295"/>
      <c r="AS195" s="164"/>
      <c r="AT195" s="164"/>
      <c r="AU195" s="320"/>
      <c r="AV195" s="324"/>
      <c r="AW195" s="89"/>
    </row>
    <row r="196" spans="1:49" ht="36" customHeight="1">
      <c r="A196" s="5">
        <v>149</v>
      </c>
      <c r="B196" s="229">
        <v>192</v>
      </c>
      <c r="C196" s="6" t="s">
        <v>18</v>
      </c>
      <c r="D196" s="133" t="s">
        <v>7</v>
      </c>
      <c r="E196" s="18" t="s">
        <v>97</v>
      </c>
      <c r="F196" s="20" t="s">
        <v>98</v>
      </c>
      <c r="G196" s="20" t="s">
        <v>99</v>
      </c>
      <c r="H196" s="215">
        <v>100000</v>
      </c>
      <c r="I196" s="51">
        <v>3</v>
      </c>
      <c r="J196" s="56">
        <v>0.1</v>
      </c>
      <c r="K196" s="50"/>
      <c r="L196" s="57"/>
      <c r="M196" s="62">
        <v>4.0000000000000027</v>
      </c>
      <c r="N196" s="63">
        <v>6.0000000000000036</v>
      </c>
      <c r="O196" s="63">
        <v>2</v>
      </c>
      <c r="P196" s="63">
        <v>6.0000000000000036</v>
      </c>
      <c r="Q196" s="63">
        <v>2</v>
      </c>
      <c r="R196" s="63">
        <v>4</v>
      </c>
      <c r="S196" s="63">
        <v>4</v>
      </c>
      <c r="T196" s="64">
        <v>6</v>
      </c>
      <c r="U196" s="67" t="e">
        <f t="shared" ca="1" si="109"/>
        <v>#DIV/0!</v>
      </c>
      <c r="V196" s="67">
        <f t="shared" ca="1" si="110"/>
        <v>0.1</v>
      </c>
      <c r="W196" s="69">
        <f t="shared" si="111"/>
        <v>0.63157894736842146</v>
      </c>
      <c r="X196" s="69">
        <f t="shared" si="112"/>
        <v>0.63157894736842146</v>
      </c>
      <c r="Y196" s="69">
        <f t="shared" si="113"/>
        <v>0.2807017543859649</v>
      </c>
      <c r="Z196" s="69">
        <f t="shared" si="114"/>
        <v>1.052631578947369</v>
      </c>
      <c r="AA196" s="69">
        <f t="shared" si="115"/>
        <v>0.17543859649122806</v>
      </c>
      <c r="AB196" s="69">
        <f t="shared" si="116"/>
        <v>0.49122807017543857</v>
      </c>
      <c r="AC196" s="69">
        <f t="shared" si="117"/>
        <v>0.42105263157894735</v>
      </c>
      <c r="AD196" s="70">
        <f t="shared" si="118"/>
        <v>0.63157894736842102</v>
      </c>
      <c r="AE196" s="71">
        <f t="shared" si="119"/>
        <v>0.7</v>
      </c>
      <c r="AF196" s="71">
        <f t="shared" ca="1" si="120"/>
        <v>0.9</v>
      </c>
      <c r="AG196" s="72">
        <f t="shared" ca="1" si="121"/>
        <v>0.76666666666666661</v>
      </c>
      <c r="AH196" s="177">
        <f t="shared" si="122"/>
        <v>4.3157894736842115</v>
      </c>
      <c r="AI196" s="185">
        <f t="shared" ca="1" si="123"/>
        <v>33.087719298245617</v>
      </c>
      <c r="AJ196" s="179" t="str">
        <f t="shared" ca="1" si="108"/>
        <v>Q2</v>
      </c>
      <c r="AK196" s="90" t="s">
        <v>329</v>
      </c>
      <c r="AL196" s="194"/>
      <c r="AM196" s="103"/>
      <c r="AN196" s="103"/>
      <c r="AO196" s="103"/>
      <c r="AP196" s="108"/>
      <c r="AQ196" s="299"/>
      <c r="AR196" s="295"/>
      <c r="AS196" s="164"/>
      <c r="AT196" s="164"/>
      <c r="AU196" s="320"/>
      <c r="AV196" s="324"/>
      <c r="AW196" s="89"/>
    </row>
    <row r="197" spans="1:49" ht="36" customHeight="1">
      <c r="A197" s="5">
        <v>195</v>
      </c>
      <c r="B197" s="229">
        <v>193</v>
      </c>
      <c r="C197" s="6" t="s">
        <v>8</v>
      </c>
      <c r="D197" s="133" t="s">
        <v>7</v>
      </c>
      <c r="E197" s="18" t="s">
        <v>143</v>
      </c>
      <c r="F197" s="20" t="s">
        <v>603</v>
      </c>
      <c r="G197" s="20" t="s">
        <v>144</v>
      </c>
      <c r="H197" s="215">
        <v>118000</v>
      </c>
      <c r="I197" s="51">
        <v>4</v>
      </c>
      <c r="J197" s="56">
        <v>0</v>
      </c>
      <c r="K197" s="50"/>
      <c r="L197" s="57"/>
      <c r="M197" s="62">
        <v>6.0000000000000036</v>
      </c>
      <c r="N197" s="63">
        <v>1</v>
      </c>
      <c r="O197" s="63">
        <v>4.0000000000000027</v>
      </c>
      <c r="P197" s="63">
        <v>8.0000000000000053</v>
      </c>
      <c r="Q197" s="63">
        <v>6.0000000000000036</v>
      </c>
      <c r="R197" s="63">
        <v>1</v>
      </c>
      <c r="S197" s="63">
        <v>0</v>
      </c>
      <c r="T197" s="64">
        <v>8.0000000000000053</v>
      </c>
      <c r="U197" s="67" t="e">
        <f t="shared" ca="1" si="109"/>
        <v>#DIV/0!</v>
      </c>
      <c r="V197" s="67">
        <f t="shared" ca="1" si="110"/>
        <v>0</v>
      </c>
      <c r="W197" s="69">
        <f t="shared" si="111"/>
        <v>0.94736842105263208</v>
      </c>
      <c r="X197" s="69">
        <f t="shared" si="112"/>
        <v>0.10526315789473684</v>
      </c>
      <c r="Y197" s="69">
        <f t="shared" si="113"/>
        <v>0.56140350877193024</v>
      </c>
      <c r="Z197" s="69">
        <f t="shared" si="114"/>
        <v>1.4035087719298256</v>
      </c>
      <c r="AA197" s="69">
        <f t="shared" si="115"/>
        <v>0.52631578947368451</v>
      </c>
      <c r="AB197" s="69">
        <f t="shared" si="116"/>
        <v>0.12280701754385964</v>
      </c>
      <c r="AC197" s="69">
        <f t="shared" si="117"/>
        <v>0</v>
      </c>
      <c r="AD197" s="70">
        <f t="shared" si="118"/>
        <v>0.84210526315789525</v>
      </c>
      <c r="AE197" s="71">
        <f t="shared" si="119"/>
        <v>0.6</v>
      </c>
      <c r="AF197" s="71">
        <f t="shared" ca="1" si="120"/>
        <v>1</v>
      </c>
      <c r="AG197" s="72">
        <f t="shared" ca="1" si="121"/>
        <v>0.73333333333333339</v>
      </c>
      <c r="AH197" s="177">
        <f t="shared" si="122"/>
        <v>4.5087719298245643</v>
      </c>
      <c r="AI197" s="185">
        <f t="shared" ca="1" si="123"/>
        <v>33.06432748538014</v>
      </c>
      <c r="AJ197" s="179" t="str">
        <f t="shared" ca="1" si="108"/>
        <v>Q4</v>
      </c>
      <c r="AK197" s="90" t="s">
        <v>329</v>
      </c>
      <c r="AL197" s="194"/>
      <c r="AM197" s="103"/>
      <c r="AN197" s="103"/>
      <c r="AO197" s="103"/>
      <c r="AP197" s="108"/>
      <c r="AQ197" s="299"/>
      <c r="AR197" s="295"/>
      <c r="AS197" s="164"/>
      <c r="AT197" s="164"/>
      <c r="AU197" s="320"/>
      <c r="AV197" s="324"/>
      <c r="AW197" s="89"/>
    </row>
    <row r="198" spans="1:49" ht="36" customHeight="1">
      <c r="A198" s="5">
        <v>192</v>
      </c>
      <c r="B198" s="229">
        <v>194</v>
      </c>
      <c r="C198" s="6" t="s">
        <v>6</v>
      </c>
      <c r="D198" s="133" t="s">
        <v>7</v>
      </c>
      <c r="E198" s="7" t="s">
        <v>257</v>
      </c>
      <c r="F198" s="9" t="s">
        <v>552</v>
      </c>
      <c r="G198" s="8"/>
      <c r="H198" s="213">
        <v>400000</v>
      </c>
      <c r="I198" s="50">
        <v>3</v>
      </c>
      <c r="J198" s="56">
        <v>0.2</v>
      </c>
      <c r="K198" s="50"/>
      <c r="L198" s="57"/>
      <c r="M198" s="62">
        <v>6.0000000000000036</v>
      </c>
      <c r="N198" s="63">
        <v>6</v>
      </c>
      <c r="O198" s="63">
        <v>3</v>
      </c>
      <c r="P198" s="63">
        <v>4.0000000000000027</v>
      </c>
      <c r="Q198" s="63">
        <v>1</v>
      </c>
      <c r="R198" s="63">
        <v>8.0000000000000053</v>
      </c>
      <c r="S198" s="63">
        <v>1</v>
      </c>
      <c r="T198" s="64">
        <v>6.0000000000000036</v>
      </c>
      <c r="U198" s="67" t="e">
        <f t="shared" ca="1" si="109"/>
        <v>#DIV/0!</v>
      </c>
      <c r="V198" s="67">
        <f t="shared" ca="1" si="110"/>
        <v>0.2</v>
      </c>
      <c r="W198" s="69">
        <f t="shared" si="111"/>
        <v>0.94736842105263208</v>
      </c>
      <c r="X198" s="69">
        <f t="shared" si="112"/>
        <v>0.63157894736842102</v>
      </c>
      <c r="Y198" s="69">
        <f t="shared" si="113"/>
        <v>0.42105263157894735</v>
      </c>
      <c r="Z198" s="69">
        <f t="shared" si="114"/>
        <v>0.7017543859649128</v>
      </c>
      <c r="AA198" s="69">
        <f t="shared" si="115"/>
        <v>8.771929824561403E-2</v>
      </c>
      <c r="AB198" s="69">
        <f t="shared" si="116"/>
        <v>0.9824561403508778</v>
      </c>
      <c r="AC198" s="69">
        <f t="shared" si="117"/>
        <v>0.10526315789473684</v>
      </c>
      <c r="AD198" s="70">
        <f t="shared" si="118"/>
        <v>0.63157894736842146</v>
      </c>
      <c r="AE198" s="71">
        <f t="shared" si="119"/>
        <v>0.7</v>
      </c>
      <c r="AF198" s="71">
        <f t="shared" ca="1" si="120"/>
        <v>0.8</v>
      </c>
      <c r="AG198" s="72">
        <f t="shared" ca="1" si="121"/>
        <v>0.73333333333333339</v>
      </c>
      <c r="AH198" s="177">
        <f t="shared" si="122"/>
        <v>4.5087719298245634</v>
      </c>
      <c r="AI198" s="185">
        <f t="shared" ca="1" si="123"/>
        <v>33.064327485380133</v>
      </c>
      <c r="AJ198" s="179" t="str">
        <f t="shared" ca="1" si="108"/>
        <v>Q4</v>
      </c>
      <c r="AK198" s="88" t="s">
        <v>329</v>
      </c>
      <c r="AL198" s="193"/>
      <c r="AM198" s="103"/>
      <c r="AN198" s="103"/>
      <c r="AO198" s="103"/>
      <c r="AP198" s="108"/>
      <c r="AQ198" s="299"/>
      <c r="AR198" s="295"/>
      <c r="AS198" s="164"/>
      <c r="AT198" s="164"/>
      <c r="AU198" s="320"/>
      <c r="AV198" s="324"/>
      <c r="AW198" s="89"/>
    </row>
    <row r="199" spans="1:49" ht="36" customHeight="1">
      <c r="A199" s="5">
        <v>254</v>
      </c>
      <c r="B199" s="229">
        <v>195</v>
      </c>
      <c r="C199" s="6" t="s">
        <v>8</v>
      </c>
      <c r="D199" s="133" t="s">
        <v>7</v>
      </c>
      <c r="E199" s="18" t="s">
        <v>206</v>
      </c>
      <c r="F199" s="20" t="s">
        <v>677</v>
      </c>
      <c r="G199" s="20" t="s">
        <v>207</v>
      </c>
      <c r="H199" s="215">
        <v>115000</v>
      </c>
      <c r="I199" s="51">
        <v>3</v>
      </c>
      <c r="J199" s="56">
        <v>0.2</v>
      </c>
      <c r="K199" s="50"/>
      <c r="L199" s="57"/>
      <c r="M199" s="62">
        <v>6.0000000000000036</v>
      </c>
      <c r="N199" s="63">
        <v>1</v>
      </c>
      <c r="O199" s="63">
        <v>6.0000000000000036</v>
      </c>
      <c r="P199" s="63">
        <v>4.0000000000000027</v>
      </c>
      <c r="Q199" s="63">
        <v>4.0000000000000027</v>
      </c>
      <c r="R199" s="63">
        <v>4.0000000000000027</v>
      </c>
      <c r="S199" s="63">
        <v>4</v>
      </c>
      <c r="T199" s="64">
        <v>6.0000000000000036</v>
      </c>
      <c r="U199" s="67" t="e">
        <f t="shared" ca="1" si="109"/>
        <v>#DIV/0!</v>
      </c>
      <c r="V199" s="67">
        <f t="shared" ca="1" si="110"/>
        <v>0.2</v>
      </c>
      <c r="W199" s="69">
        <f t="shared" si="111"/>
        <v>0.94736842105263208</v>
      </c>
      <c r="X199" s="69">
        <f t="shared" si="112"/>
        <v>0.10526315789473684</v>
      </c>
      <c r="Y199" s="69">
        <f t="shared" si="113"/>
        <v>0.84210526315789525</v>
      </c>
      <c r="Z199" s="69">
        <f t="shared" si="114"/>
        <v>0.7017543859649128</v>
      </c>
      <c r="AA199" s="69">
        <f t="shared" si="115"/>
        <v>0.3508771929824564</v>
      </c>
      <c r="AB199" s="69">
        <f t="shared" si="116"/>
        <v>0.4912280701754389</v>
      </c>
      <c r="AC199" s="69">
        <f t="shared" si="117"/>
        <v>0.42105263157894735</v>
      </c>
      <c r="AD199" s="70">
        <f t="shared" si="118"/>
        <v>0.63157894736842146</v>
      </c>
      <c r="AE199" s="71">
        <f t="shared" si="119"/>
        <v>0.7</v>
      </c>
      <c r="AF199" s="71">
        <f t="shared" ca="1" si="120"/>
        <v>0.8</v>
      </c>
      <c r="AG199" s="72">
        <f t="shared" ca="1" si="121"/>
        <v>0.73333333333333339</v>
      </c>
      <c r="AH199" s="177">
        <f t="shared" si="122"/>
        <v>4.491228070175441</v>
      </c>
      <c r="AI199" s="185">
        <f t="shared" ca="1" si="123"/>
        <v>32.935672514619903</v>
      </c>
      <c r="AJ199" s="179" t="str">
        <f t="shared" ca="1" si="108"/>
        <v>Q4</v>
      </c>
      <c r="AK199" s="90" t="s">
        <v>329</v>
      </c>
      <c r="AL199" s="194"/>
      <c r="AM199" s="103"/>
      <c r="AN199" s="103"/>
      <c r="AO199" s="103"/>
      <c r="AP199" s="108"/>
      <c r="AQ199" s="299"/>
      <c r="AR199" s="295"/>
      <c r="AS199" s="164"/>
      <c r="AT199" s="164"/>
      <c r="AU199" s="320"/>
      <c r="AV199" s="324"/>
      <c r="AW199" s="89"/>
    </row>
    <row r="200" spans="1:49" ht="36" customHeight="1">
      <c r="A200" s="1"/>
      <c r="B200" s="229">
        <v>196</v>
      </c>
      <c r="C200" s="6" t="s">
        <v>18</v>
      </c>
      <c r="D200" s="132" t="s">
        <v>383</v>
      </c>
      <c r="E200" s="181" t="s">
        <v>658</v>
      </c>
      <c r="F200" s="182" t="s">
        <v>531</v>
      </c>
      <c r="G200" s="137"/>
      <c r="H200" s="214">
        <v>1675000</v>
      </c>
      <c r="I200" s="142">
        <v>3</v>
      </c>
      <c r="J200" s="139">
        <v>0.3</v>
      </c>
      <c r="K200" s="138"/>
      <c r="L200" s="140"/>
      <c r="M200" s="62">
        <v>5</v>
      </c>
      <c r="N200" s="63">
        <v>8</v>
      </c>
      <c r="O200" s="63">
        <v>3</v>
      </c>
      <c r="P200" s="63">
        <v>4</v>
      </c>
      <c r="Q200" s="63">
        <v>0</v>
      </c>
      <c r="R200" s="63">
        <v>8</v>
      </c>
      <c r="S200" s="63">
        <v>0</v>
      </c>
      <c r="T200" s="64">
        <v>9</v>
      </c>
      <c r="U200" s="141" t="e">
        <f t="shared" ca="1" si="109"/>
        <v>#DIV/0!</v>
      </c>
      <c r="V200" s="141">
        <f t="shared" ca="1" si="110"/>
        <v>0.3</v>
      </c>
      <c r="W200" s="69">
        <f t="shared" si="111"/>
        <v>0.78947368421052633</v>
      </c>
      <c r="X200" s="69">
        <f t="shared" si="112"/>
        <v>0.84210526315789469</v>
      </c>
      <c r="Y200" s="69">
        <f t="shared" si="113"/>
        <v>0.42105263157894735</v>
      </c>
      <c r="Z200" s="69">
        <f t="shared" si="114"/>
        <v>0.70175438596491224</v>
      </c>
      <c r="AA200" s="69">
        <f t="shared" si="115"/>
        <v>0</v>
      </c>
      <c r="AB200" s="69">
        <f t="shared" si="116"/>
        <v>0.98245614035087714</v>
      </c>
      <c r="AC200" s="69">
        <f t="shared" si="117"/>
        <v>0</v>
      </c>
      <c r="AD200" s="70">
        <f t="shared" si="118"/>
        <v>0.94736842105263153</v>
      </c>
      <c r="AE200" s="71">
        <f t="shared" si="119"/>
        <v>0.7</v>
      </c>
      <c r="AF200" s="71">
        <f t="shared" ca="1" si="120"/>
        <v>0.7</v>
      </c>
      <c r="AG200" s="72">
        <f t="shared" ca="1" si="121"/>
        <v>0.69999999999999984</v>
      </c>
      <c r="AH200" s="176">
        <f t="shared" si="122"/>
        <v>4.6842105263157894</v>
      </c>
      <c r="AI200" s="184">
        <f t="shared" ca="1" si="123"/>
        <v>32.78947368421052</v>
      </c>
      <c r="AJ200" s="179" t="str">
        <f t="shared" ca="1" si="108"/>
        <v>Q4</v>
      </c>
      <c r="AK200" s="135" t="s">
        <v>329</v>
      </c>
      <c r="AL200" s="101"/>
      <c r="AM200" s="269"/>
      <c r="AN200" s="103"/>
      <c r="AO200" s="103"/>
      <c r="AP200" s="108"/>
      <c r="AQ200" s="299"/>
      <c r="AR200" s="165"/>
      <c r="AS200" s="164"/>
      <c r="AT200" s="164"/>
      <c r="AU200" s="320"/>
      <c r="AV200" s="324"/>
      <c r="AW200" s="87"/>
    </row>
    <row r="201" spans="1:49" ht="36" customHeight="1">
      <c r="A201" s="5">
        <v>291</v>
      </c>
      <c r="B201" s="229">
        <v>197</v>
      </c>
      <c r="C201" s="6" t="s">
        <v>28</v>
      </c>
      <c r="D201" s="133" t="s">
        <v>7</v>
      </c>
      <c r="E201" s="18" t="s">
        <v>244</v>
      </c>
      <c r="F201" s="19" t="s">
        <v>245</v>
      </c>
      <c r="G201" s="20" t="s">
        <v>246</v>
      </c>
      <c r="H201" s="215">
        <v>125000</v>
      </c>
      <c r="I201" s="51">
        <v>4</v>
      </c>
      <c r="J201" s="56">
        <v>0.2</v>
      </c>
      <c r="K201" s="50"/>
      <c r="L201" s="57"/>
      <c r="M201" s="62">
        <v>8.0000000000000053</v>
      </c>
      <c r="N201" s="63">
        <v>4.0000000000000027</v>
      </c>
      <c r="O201" s="63">
        <v>4.0000000000000027</v>
      </c>
      <c r="P201" s="63">
        <v>4.0000000000000027</v>
      </c>
      <c r="Q201" s="63">
        <v>6.0000000000000036</v>
      </c>
      <c r="R201" s="63">
        <v>4.0000000000000027</v>
      </c>
      <c r="S201" s="63">
        <v>3</v>
      </c>
      <c r="T201" s="64">
        <v>6.0000000000000036</v>
      </c>
      <c r="U201" s="67" t="e">
        <f t="shared" ca="1" si="109"/>
        <v>#DIV/0!</v>
      </c>
      <c r="V201" s="67">
        <f t="shared" ca="1" si="110"/>
        <v>0.2</v>
      </c>
      <c r="W201" s="69">
        <f t="shared" si="111"/>
        <v>1.2631578947368429</v>
      </c>
      <c r="X201" s="69">
        <f t="shared" si="112"/>
        <v>0.42105263157894762</v>
      </c>
      <c r="Y201" s="69">
        <f t="shared" si="113"/>
        <v>0.56140350877193024</v>
      </c>
      <c r="Z201" s="69">
        <f t="shared" si="114"/>
        <v>0.7017543859649128</v>
      </c>
      <c r="AA201" s="69">
        <f t="shared" si="115"/>
        <v>0.52631578947368451</v>
      </c>
      <c r="AB201" s="69">
        <f t="shared" si="116"/>
        <v>0.4912280701754389</v>
      </c>
      <c r="AC201" s="69">
        <f t="shared" si="117"/>
        <v>0.31578947368421051</v>
      </c>
      <c r="AD201" s="70">
        <f t="shared" si="118"/>
        <v>0.63157894736842146</v>
      </c>
      <c r="AE201" s="71">
        <f t="shared" si="119"/>
        <v>0.6</v>
      </c>
      <c r="AF201" s="71">
        <f t="shared" ca="1" si="120"/>
        <v>0.8</v>
      </c>
      <c r="AG201" s="72">
        <f t="shared" ca="1" si="121"/>
        <v>0.66666666666666663</v>
      </c>
      <c r="AH201" s="177">
        <f t="shared" si="122"/>
        <v>4.9122807017543888</v>
      </c>
      <c r="AI201" s="185">
        <f t="shared" ca="1" si="123"/>
        <v>32.748538011695921</v>
      </c>
      <c r="AJ201" s="179" t="str">
        <f t="shared" ca="1" si="108"/>
        <v>Q4</v>
      </c>
      <c r="AK201" s="90" t="s">
        <v>338</v>
      </c>
      <c r="AL201" s="195"/>
      <c r="AM201" s="103"/>
      <c r="AN201" s="103"/>
      <c r="AO201" s="103"/>
      <c r="AP201" s="108"/>
      <c r="AQ201" s="299"/>
      <c r="AR201" s="295"/>
      <c r="AS201" s="164"/>
      <c r="AT201" s="164"/>
      <c r="AU201" s="320"/>
      <c r="AV201" s="324"/>
      <c r="AW201" s="89"/>
    </row>
    <row r="202" spans="1:49" ht="36" customHeight="1">
      <c r="A202" s="5">
        <v>160</v>
      </c>
      <c r="B202" s="229">
        <v>198</v>
      </c>
      <c r="C202" s="6" t="s">
        <v>18</v>
      </c>
      <c r="D202" s="133" t="s">
        <v>7</v>
      </c>
      <c r="E202" s="18" t="s">
        <v>111</v>
      </c>
      <c r="F202" s="20" t="s">
        <v>595</v>
      </c>
      <c r="G202" s="20" t="s">
        <v>112</v>
      </c>
      <c r="H202" s="215">
        <v>130500</v>
      </c>
      <c r="I202" s="51">
        <v>4</v>
      </c>
      <c r="J202" s="56">
        <v>0.1</v>
      </c>
      <c r="K202" s="50"/>
      <c r="L202" s="57"/>
      <c r="M202" s="62">
        <v>4.0000000000000027</v>
      </c>
      <c r="N202" s="63">
        <v>6.0000000000000036</v>
      </c>
      <c r="O202" s="63">
        <v>4</v>
      </c>
      <c r="P202" s="63">
        <v>4.0000000000000027</v>
      </c>
      <c r="Q202" s="63">
        <v>5</v>
      </c>
      <c r="R202" s="63">
        <v>6.0000000000000036</v>
      </c>
      <c r="S202" s="63">
        <v>3</v>
      </c>
      <c r="T202" s="64">
        <v>6.0000000000000036</v>
      </c>
      <c r="U202" s="67" t="e">
        <f t="shared" ca="1" si="109"/>
        <v>#DIV/0!</v>
      </c>
      <c r="V202" s="67">
        <f t="shared" ca="1" si="110"/>
        <v>0.1</v>
      </c>
      <c r="W202" s="69">
        <f t="shared" si="111"/>
        <v>0.63157894736842146</v>
      </c>
      <c r="X202" s="69">
        <f t="shared" si="112"/>
        <v>0.63157894736842146</v>
      </c>
      <c r="Y202" s="69">
        <f t="shared" si="113"/>
        <v>0.56140350877192979</v>
      </c>
      <c r="Z202" s="69">
        <f t="shared" si="114"/>
        <v>0.7017543859649128</v>
      </c>
      <c r="AA202" s="69">
        <f t="shared" si="115"/>
        <v>0.43859649122807015</v>
      </c>
      <c r="AB202" s="69">
        <f t="shared" si="116"/>
        <v>0.73684210526315841</v>
      </c>
      <c r="AC202" s="69">
        <f t="shared" si="117"/>
        <v>0.31578947368421051</v>
      </c>
      <c r="AD202" s="70">
        <f t="shared" si="118"/>
        <v>0.63157894736842146</v>
      </c>
      <c r="AE202" s="71">
        <f t="shared" si="119"/>
        <v>0.6</v>
      </c>
      <c r="AF202" s="71">
        <f t="shared" ca="1" si="120"/>
        <v>0.9</v>
      </c>
      <c r="AG202" s="72">
        <f t="shared" ca="1" si="121"/>
        <v>0.70000000000000007</v>
      </c>
      <c r="AH202" s="177">
        <f t="shared" si="122"/>
        <v>4.6491228070175454</v>
      </c>
      <c r="AI202" s="185">
        <f t="shared" ca="1" si="123"/>
        <v>32.543859649122822</v>
      </c>
      <c r="AJ202" s="179" t="str">
        <f t="shared" ca="1" si="108"/>
        <v>Q4</v>
      </c>
      <c r="AK202" s="90" t="s">
        <v>329</v>
      </c>
      <c r="AL202" s="194"/>
      <c r="AM202" s="103"/>
      <c r="AN202" s="103"/>
      <c r="AO202" s="107"/>
      <c r="AP202" s="199"/>
      <c r="AQ202" s="299"/>
      <c r="AR202" s="295"/>
      <c r="AS202" s="164"/>
      <c r="AT202" s="164"/>
      <c r="AU202" s="320"/>
      <c r="AV202" s="324"/>
      <c r="AW202" s="89"/>
    </row>
    <row r="203" spans="1:49" ht="36" customHeight="1">
      <c r="A203" s="5">
        <v>243</v>
      </c>
      <c r="B203" s="229">
        <v>199</v>
      </c>
      <c r="C203" s="6" t="s">
        <v>28</v>
      </c>
      <c r="D203" s="133" t="s">
        <v>7</v>
      </c>
      <c r="E203" s="18" t="s">
        <v>199</v>
      </c>
      <c r="F203" s="20" t="s">
        <v>490</v>
      </c>
      <c r="G203" s="20" t="s">
        <v>200</v>
      </c>
      <c r="H203" s="216">
        <v>150000</v>
      </c>
      <c r="I203" s="51">
        <v>3</v>
      </c>
      <c r="J203" s="56">
        <v>0.3</v>
      </c>
      <c r="K203" s="50"/>
      <c r="L203" s="57"/>
      <c r="M203" s="62">
        <v>4.0000000000000027</v>
      </c>
      <c r="N203" s="63">
        <v>4.0000000000000027</v>
      </c>
      <c r="O203" s="63">
        <v>4.0000000000000027</v>
      </c>
      <c r="P203" s="63">
        <v>8.0000000000000053</v>
      </c>
      <c r="Q203" s="63">
        <v>8.0000000000000053</v>
      </c>
      <c r="R203" s="63">
        <v>4.0000000000000027</v>
      </c>
      <c r="S203" s="63">
        <v>0</v>
      </c>
      <c r="T203" s="64">
        <v>4.0000000000000027</v>
      </c>
      <c r="U203" s="67" t="e">
        <f t="shared" ca="1" si="109"/>
        <v>#DIV/0!</v>
      </c>
      <c r="V203" s="67">
        <f t="shared" ca="1" si="110"/>
        <v>0.3</v>
      </c>
      <c r="W203" s="69">
        <f t="shared" si="111"/>
        <v>0.63157894736842146</v>
      </c>
      <c r="X203" s="69">
        <f t="shared" si="112"/>
        <v>0.42105263157894762</v>
      </c>
      <c r="Y203" s="69">
        <f t="shared" si="113"/>
        <v>0.56140350877193024</v>
      </c>
      <c r="Z203" s="69">
        <f t="shared" si="114"/>
        <v>1.4035087719298256</v>
      </c>
      <c r="AA203" s="69">
        <f t="shared" si="115"/>
        <v>0.7017543859649128</v>
      </c>
      <c r="AB203" s="69">
        <f t="shared" si="116"/>
        <v>0.4912280701754389</v>
      </c>
      <c r="AC203" s="69">
        <f t="shared" si="117"/>
        <v>0</v>
      </c>
      <c r="AD203" s="70">
        <f t="shared" si="118"/>
        <v>0.42105263157894762</v>
      </c>
      <c r="AE203" s="71">
        <f t="shared" si="119"/>
        <v>0.7</v>
      </c>
      <c r="AF203" s="71">
        <f t="shared" ca="1" si="120"/>
        <v>0.7</v>
      </c>
      <c r="AG203" s="72">
        <f t="shared" ca="1" si="121"/>
        <v>0.69999999999999984</v>
      </c>
      <c r="AH203" s="177">
        <f t="shared" si="122"/>
        <v>4.6315789473684248</v>
      </c>
      <c r="AI203" s="185">
        <f t="shared" ca="1" si="123"/>
        <v>32.421052631578966</v>
      </c>
      <c r="AJ203" s="179" t="str">
        <f t="shared" ca="1" si="108"/>
        <v>Q4</v>
      </c>
      <c r="AK203" s="90" t="s">
        <v>338</v>
      </c>
      <c r="AL203" s="194"/>
      <c r="AM203" s="103"/>
      <c r="AN203" s="103"/>
      <c r="AO203" s="103"/>
      <c r="AP203" s="108"/>
      <c r="AQ203" s="299"/>
      <c r="AR203" s="295"/>
      <c r="AS203" s="164"/>
      <c r="AT203" s="164"/>
      <c r="AU203" s="320"/>
      <c r="AV203" s="324"/>
      <c r="AW203" s="89"/>
    </row>
    <row r="204" spans="1:49" ht="36" customHeight="1">
      <c r="A204" s="5">
        <v>207</v>
      </c>
      <c r="B204" s="229">
        <v>200</v>
      </c>
      <c r="C204" s="6" t="s">
        <v>18</v>
      </c>
      <c r="D204" s="133" t="s">
        <v>7</v>
      </c>
      <c r="E204" s="18" t="s">
        <v>155</v>
      </c>
      <c r="F204" s="20" t="s">
        <v>156</v>
      </c>
      <c r="G204" s="20" t="s">
        <v>157</v>
      </c>
      <c r="H204" s="215">
        <v>160500</v>
      </c>
      <c r="I204" s="51">
        <v>3</v>
      </c>
      <c r="J204" s="56">
        <v>0.1</v>
      </c>
      <c r="K204" s="50"/>
      <c r="L204" s="57"/>
      <c r="M204" s="62">
        <v>2</v>
      </c>
      <c r="N204" s="63">
        <v>6</v>
      </c>
      <c r="O204" s="63">
        <v>4</v>
      </c>
      <c r="P204" s="63">
        <v>6.0000000000000036</v>
      </c>
      <c r="Q204" s="63">
        <v>1</v>
      </c>
      <c r="R204" s="63">
        <v>6</v>
      </c>
      <c r="S204" s="63">
        <v>0</v>
      </c>
      <c r="T204" s="64">
        <v>8.0000000000000053</v>
      </c>
      <c r="U204" s="67" t="e">
        <f t="shared" ca="1" si="109"/>
        <v>#DIV/0!</v>
      </c>
      <c r="V204" s="67">
        <f t="shared" ca="1" si="110"/>
        <v>0.1</v>
      </c>
      <c r="W204" s="69">
        <f t="shared" si="111"/>
        <v>0.31578947368421051</v>
      </c>
      <c r="X204" s="69">
        <f t="shared" si="112"/>
        <v>0.63157894736842102</v>
      </c>
      <c r="Y204" s="69">
        <f t="shared" si="113"/>
        <v>0.56140350877192979</v>
      </c>
      <c r="Z204" s="69">
        <f t="shared" si="114"/>
        <v>1.052631578947369</v>
      </c>
      <c r="AA204" s="69">
        <f t="shared" si="115"/>
        <v>8.771929824561403E-2</v>
      </c>
      <c r="AB204" s="69">
        <f t="shared" si="116"/>
        <v>0.73684210526315785</v>
      </c>
      <c r="AC204" s="69">
        <f t="shared" si="117"/>
        <v>0</v>
      </c>
      <c r="AD204" s="70">
        <f t="shared" si="118"/>
        <v>0.84210526315789525</v>
      </c>
      <c r="AE204" s="71">
        <f t="shared" si="119"/>
        <v>0.7</v>
      </c>
      <c r="AF204" s="71">
        <f t="shared" ca="1" si="120"/>
        <v>0.9</v>
      </c>
      <c r="AG204" s="72">
        <f t="shared" ca="1" si="121"/>
        <v>0.76666666666666661</v>
      </c>
      <c r="AH204" s="177">
        <f t="shared" si="122"/>
        <v>4.2280701754385976</v>
      </c>
      <c r="AI204" s="185">
        <f t="shared" ca="1" si="123"/>
        <v>32.415204678362585</v>
      </c>
      <c r="AJ204" s="179" t="str">
        <f t="shared" ca="1" si="108"/>
        <v>Q2</v>
      </c>
      <c r="AK204" s="90" t="s">
        <v>329</v>
      </c>
      <c r="AL204" s="194"/>
      <c r="AM204" s="103"/>
      <c r="AN204" s="103"/>
      <c r="AO204" s="103"/>
      <c r="AP204" s="108"/>
      <c r="AQ204" s="299"/>
      <c r="AR204" s="295"/>
      <c r="AS204" s="164"/>
      <c r="AT204" s="164"/>
      <c r="AU204" s="320"/>
      <c r="AV204" s="324"/>
      <c r="AW204" s="89"/>
    </row>
    <row r="205" spans="1:49" ht="36" customHeight="1">
      <c r="A205" s="5">
        <v>247</v>
      </c>
      <c r="B205" s="229">
        <v>201</v>
      </c>
      <c r="C205" s="6" t="s">
        <v>8</v>
      </c>
      <c r="D205" s="133" t="s">
        <v>7</v>
      </c>
      <c r="E205" s="18" t="s">
        <v>572</v>
      </c>
      <c r="F205" s="20" t="s">
        <v>573</v>
      </c>
      <c r="G205" s="20" t="s">
        <v>574</v>
      </c>
      <c r="H205" s="215">
        <v>240000</v>
      </c>
      <c r="I205" s="51">
        <v>3</v>
      </c>
      <c r="J205" s="56">
        <v>0.2</v>
      </c>
      <c r="K205" s="50"/>
      <c r="L205" s="57"/>
      <c r="M205" s="62">
        <v>3</v>
      </c>
      <c r="N205" s="63">
        <v>6.0000000000000036</v>
      </c>
      <c r="O205" s="63">
        <v>4.0000000000000027</v>
      </c>
      <c r="P205" s="63">
        <v>4.0000000000000027</v>
      </c>
      <c r="Q205" s="63">
        <v>8.0000000000000053</v>
      </c>
      <c r="R205" s="63">
        <v>4.0000000000000027</v>
      </c>
      <c r="S205" s="63">
        <v>4</v>
      </c>
      <c r="T205" s="64">
        <v>4.0000000000000027</v>
      </c>
      <c r="U205" s="67" t="e">
        <f t="shared" ca="1" si="109"/>
        <v>#DIV/0!</v>
      </c>
      <c r="V205" s="67">
        <f t="shared" ca="1" si="110"/>
        <v>0.2</v>
      </c>
      <c r="W205" s="69">
        <f t="shared" si="111"/>
        <v>0.47368421052631576</v>
      </c>
      <c r="X205" s="69">
        <f t="shared" si="112"/>
        <v>0.63157894736842146</v>
      </c>
      <c r="Y205" s="69">
        <f t="shared" si="113"/>
        <v>0.56140350877193024</v>
      </c>
      <c r="Z205" s="69">
        <f t="shared" si="114"/>
        <v>0.7017543859649128</v>
      </c>
      <c r="AA205" s="69">
        <f t="shared" si="115"/>
        <v>0.7017543859649128</v>
      </c>
      <c r="AB205" s="69">
        <f t="shared" si="116"/>
        <v>0.4912280701754389</v>
      </c>
      <c r="AC205" s="69">
        <f t="shared" si="117"/>
        <v>0.42105263157894735</v>
      </c>
      <c r="AD205" s="70">
        <f t="shared" si="118"/>
        <v>0.42105263157894762</v>
      </c>
      <c r="AE205" s="71">
        <f t="shared" si="119"/>
        <v>0.7</v>
      </c>
      <c r="AF205" s="71">
        <f t="shared" ca="1" si="120"/>
        <v>0.8</v>
      </c>
      <c r="AG205" s="72">
        <f t="shared" ca="1" si="121"/>
        <v>0.73333333333333339</v>
      </c>
      <c r="AH205" s="177">
        <f t="shared" si="122"/>
        <v>4.4035087719298263</v>
      </c>
      <c r="AI205" s="185">
        <f t="shared" ca="1" si="123"/>
        <v>32.292397660818729</v>
      </c>
      <c r="AJ205" s="179" t="str">
        <f t="shared" ca="1" si="108"/>
        <v>Q4</v>
      </c>
      <c r="AK205" s="90" t="s">
        <v>329</v>
      </c>
      <c r="AL205" s="194"/>
      <c r="AM205" s="103"/>
      <c r="AN205" s="103"/>
      <c r="AO205" s="103"/>
      <c r="AP205" s="108"/>
      <c r="AQ205" s="299"/>
      <c r="AR205" s="295"/>
      <c r="AS205" s="164"/>
      <c r="AT205" s="164"/>
      <c r="AU205" s="320"/>
      <c r="AV205" s="324"/>
      <c r="AW205" s="89"/>
    </row>
    <row r="206" spans="1:49" ht="36" customHeight="1">
      <c r="A206" s="5">
        <v>229</v>
      </c>
      <c r="B206" s="229">
        <v>202</v>
      </c>
      <c r="C206" s="6" t="s">
        <v>8</v>
      </c>
      <c r="D206" s="133" t="s">
        <v>7</v>
      </c>
      <c r="E206" s="18" t="s">
        <v>177</v>
      </c>
      <c r="F206" s="20" t="s">
        <v>678</v>
      </c>
      <c r="G206" s="20" t="s">
        <v>178</v>
      </c>
      <c r="H206" s="216">
        <v>125000</v>
      </c>
      <c r="I206" s="51">
        <v>3</v>
      </c>
      <c r="J206" s="56">
        <v>0</v>
      </c>
      <c r="K206" s="50"/>
      <c r="L206" s="57"/>
      <c r="M206" s="62">
        <v>2</v>
      </c>
      <c r="N206" s="63">
        <v>4.0000000000000027</v>
      </c>
      <c r="O206" s="63">
        <v>6.0000000000000036</v>
      </c>
      <c r="P206" s="63">
        <v>4.0000000000000027</v>
      </c>
      <c r="Q206" s="63">
        <v>2</v>
      </c>
      <c r="R206" s="63">
        <v>6.0000000000000036</v>
      </c>
      <c r="S206" s="63">
        <v>4</v>
      </c>
      <c r="T206" s="64">
        <v>4</v>
      </c>
      <c r="U206" s="67" t="e">
        <f t="shared" ca="1" si="109"/>
        <v>#DIV/0!</v>
      </c>
      <c r="V206" s="67">
        <f t="shared" ca="1" si="110"/>
        <v>0</v>
      </c>
      <c r="W206" s="69">
        <f t="shared" si="111"/>
        <v>0.31578947368421051</v>
      </c>
      <c r="X206" s="69">
        <f t="shared" si="112"/>
        <v>0.42105263157894762</v>
      </c>
      <c r="Y206" s="69">
        <f t="shared" si="113"/>
        <v>0.84210526315789525</v>
      </c>
      <c r="Z206" s="69">
        <f t="shared" si="114"/>
        <v>0.7017543859649128</v>
      </c>
      <c r="AA206" s="69">
        <f t="shared" si="115"/>
        <v>0.17543859649122806</v>
      </c>
      <c r="AB206" s="69">
        <f t="shared" si="116"/>
        <v>0.73684210526315841</v>
      </c>
      <c r="AC206" s="69">
        <f t="shared" si="117"/>
        <v>0.42105263157894735</v>
      </c>
      <c r="AD206" s="70">
        <f t="shared" si="118"/>
        <v>0.42105263157894735</v>
      </c>
      <c r="AE206" s="71">
        <f t="shared" si="119"/>
        <v>0.7</v>
      </c>
      <c r="AF206" s="71">
        <f t="shared" ca="1" si="120"/>
        <v>1</v>
      </c>
      <c r="AG206" s="72">
        <f t="shared" ca="1" si="121"/>
        <v>0.79999999999999993</v>
      </c>
      <c r="AH206" s="177">
        <f t="shared" si="122"/>
        <v>4.0350877192982475</v>
      </c>
      <c r="AI206" s="185">
        <f t="shared" ca="1" si="123"/>
        <v>32.280701754385973</v>
      </c>
      <c r="AJ206" s="179" t="str">
        <f t="shared" ca="1" si="108"/>
        <v>Q2</v>
      </c>
      <c r="AK206" s="90" t="s">
        <v>329</v>
      </c>
      <c r="AL206" s="194"/>
      <c r="AM206" s="103"/>
      <c r="AN206" s="103"/>
      <c r="AO206" s="103"/>
      <c r="AP206" s="108"/>
      <c r="AQ206" s="299"/>
      <c r="AR206" s="295"/>
      <c r="AS206" s="164"/>
      <c r="AT206" s="164"/>
      <c r="AU206" s="320"/>
      <c r="AV206" s="324"/>
      <c r="AW206" s="89"/>
    </row>
    <row r="207" spans="1:49" ht="36" customHeight="1">
      <c r="A207" s="5">
        <v>257</v>
      </c>
      <c r="B207" s="229">
        <v>203</v>
      </c>
      <c r="C207" s="6" t="s">
        <v>18</v>
      </c>
      <c r="D207" s="133" t="s">
        <v>7</v>
      </c>
      <c r="E207" s="18" t="s">
        <v>213</v>
      </c>
      <c r="F207" s="20" t="s">
        <v>596</v>
      </c>
      <c r="G207" s="20" t="s">
        <v>214</v>
      </c>
      <c r="H207" s="215">
        <v>176000</v>
      </c>
      <c r="I207" s="51">
        <v>3</v>
      </c>
      <c r="J207" s="56">
        <v>0.3</v>
      </c>
      <c r="K207" s="50"/>
      <c r="L207" s="57"/>
      <c r="M207" s="62">
        <v>6.0000000000000036</v>
      </c>
      <c r="N207" s="63">
        <v>1</v>
      </c>
      <c r="O207" s="63">
        <v>4.0000000000000027</v>
      </c>
      <c r="P207" s="63">
        <v>8.0000000000000053</v>
      </c>
      <c r="Q207" s="63">
        <v>8.0000000000000053</v>
      </c>
      <c r="R207" s="63">
        <v>1</v>
      </c>
      <c r="S207" s="63">
        <v>1</v>
      </c>
      <c r="T207" s="64">
        <v>6.0000000000000036</v>
      </c>
      <c r="U207" s="67" t="e">
        <f t="shared" ca="1" si="109"/>
        <v>#DIV/0!</v>
      </c>
      <c r="V207" s="67">
        <f t="shared" ca="1" si="110"/>
        <v>0.3</v>
      </c>
      <c r="W207" s="69">
        <f t="shared" si="111"/>
        <v>0.94736842105263208</v>
      </c>
      <c r="X207" s="69">
        <f t="shared" si="112"/>
        <v>0.10526315789473684</v>
      </c>
      <c r="Y207" s="69">
        <f t="shared" si="113"/>
        <v>0.56140350877193024</v>
      </c>
      <c r="Z207" s="69">
        <f t="shared" si="114"/>
        <v>1.4035087719298256</v>
      </c>
      <c r="AA207" s="69">
        <f t="shared" si="115"/>
        <v>0.7017543859649128</v>
      </c>
      <c r="AB207" s="69">
        <f t="shared" si="116"/>
        <v>0.12280701754385964</v>
      </c>
      <c r="AC207" s="69">
        <f t="shared" si="117"/>
        <v>0.10526315789473684</v>
      </c>
      <c r="AD207" s="70">
        <f t="shared" si="118"/>
        <v>0.63157894736842146</v>
      </c>
      <c r="AE207" s="71">
        <f t="shared" si="119"/>
        <v>0.7</v>
      </c>
      <c r="AF207" s="71">
        <f t="shared" ca="1" si="120"/>
        <v>0.7</v>
      </c>
      <c r="AG207" s="72">
        <f t="shared" ca="1" si="121"/>
        <v>0.69999999999999984</v>
      </c>
      <c r="AH207" s="177">
        <f t="shared" si="122"/>
        <v>4.5789473684210558</v>
      </c>
      <c r="AI207" s="185">
        <f t="shared" ca="1" si="123"/>
        <v>32.052631578947384</v>
      </c>
      <c r="AJ207" s="179" t="str">
        <f t="shared" ca="1" si="108"/>
        <v>Q4</v>
      </c>
      <c r="AK207" s="90" t="s">
        <v>329</v>
      </c>
      <c r="AL207" s="194"/>
      <c r="AM207" s="103"/>
      <c r="AN207" s="103"/>
      <c r="AO207" s="103"/>
      <c r="AP207" s="108"/>
      <c r="AQ207" s="299"/>
      <c r="AR207" s="295"/>
      <c r="AS207" s="164"/>
      <c r="AT207" s="164"/>
      <c r="AU207" s="320"/>
      <c r="AV207" s="324"/>
      <c r="AW207" s="89"/>
    </row>
    <row r="208" spans="1:49" ht="36" customHeight="1">
      <c r="A208" s="5">
        <v>184</v>
      </c>
      <c r="B208" s="229">
        <v>204</v>
      </c>
      <c r="C208" s="6" t="s">
        <v>6</v>
      </c>
      <c r="D208" s="133" t="s">
        <v>7</v>
      </c>
      <c r="E208" s="7" t="s">
        <v>136</v>
      </c>
      <c r="F208" s="9" t="s">
        <v>137</v>
      </c>
      <c r="G208" s="8"/>
      <c r="H208" s="213">
        <v>280000</v>
      </c>
      <c r="I208" s="50">
        <v>4</v>
      </c>
      <c r="J208" s="56">
        <v>0.2</v>
      </c>
      <c r="K208" s="50"/>
      <c r="L208" s="57"/>
      <c r="M208" s="62">
        <v>4</v>
      </c>
      <c r="N208" s="63">
        <v>6</v>
      </c>
      <c r="O208" s="63">
        <v>6</v>
      </c>
      <c r="P208" s="63">
        <v>4.0000000000000027</v>
      </c>
      <c r="Q208" s="63">
        <v>4</v>
      </c>
      <c r="R208" s="63">
        <v>4.0000000000000027</v>
      </c>
      <c r="S208" s="63">
        <v>5</v>
      </c>
      <c r="T208" s="64">
        <v>6.0000000000000036</v>
      </c>
      <c r="U208" s="67" t="e">
        <f t="shared" ca="1" si="109"/>
        <v>#DIV/0!</v>
      </c>
      <c r="V208" s="67">
        <f t="shared" ca="1" si="110"/>
        <v>0.2</v>
      </c>
      <c r="W208" s="69">
        <f t="shared" si="111"/>
        <v>0.63157894736842102</v>
      </c>
      <c r="X208" s="69">
        <f t="shared" si="112"/>
        <v>0.63157894736842102</v>
      </c>
      <c r="Y208" s="69">
        <f t="shared" si="113"/>
        <v>0.84210526315789469</v>
      </c>
      <c r="Z208" s="69">
        <f t="shared" si="114"/>
        <v>0.7017543859649128</v>
      </c>
      <c r="AA208" s="69">
        <f t="shared" si="115"/>
        <v>0.35087719298245612</v>
      </c>
      <c r="AB208" s="69">
        <f t="shared" si="116"/>
        <v>0.4912280701754389</v>
      </c>
      <c r="AC208" s="69">
        <f t="shared" si="117"/>
        <v>0.52631578947368418</v>
      </c>
      <c r="AD208" s="70">
        <f t="shared" si="118"/>
        <v>0.63157894736842146</v>
      </c>
      <c r="AE208" s="71">
        <f t="shared" si="119"/>
        <v>0.6</v>
      </c>
      <c r="AF208" s="71">
        <f t="shared" ca="1" si="120"/>
        <v>0.8</v>
      </c>
      <c r="AG208" s="72">
        <f t="shared" ca="1" si="121"/>
        <v>0.66666666666666663</v>
      </c>
      <c r="AH208" s="177">
        <f t="shared" si="122"/>
        <v>4.8070175438596499</v>
      </c>
      <c r="AI208" s="185">
        <f t="shared" ca="1" si="123"/>
        <v>32.046783625730995</v>
      </c>
      <c r="AJ208" s="179" t="str">
        <f t="shared" ca="1" si="108"/>
        <v>Q4</v>
      </c>
      <c r="AK208" s="88" t="s">
        <v>329</v>
      </c>
      <c r="AL208" s="193"/>
      <c r="AM208" s="103"/>
      <c r="AN208" s="103"/>
      <c r="AO208" s="103"/>
      <c r="AP208" s="108"/>
      <c r="AQ208" s="299"/>
      <c r="AR208" s="295"/>
      <c r="AS208" s="164"/>
      <c r="AT208" s="164"/>
      <c r="AU208" s="320"/>
      <c r="AV208" s="324"/>
      <c r="AW208" s="89"/>
    </row>
    <row r="209" spans="1:49" ht="36" customHeight="1">
      <c r="A209" s="5">
        <v>285</v>
      </c>
      <c r="B209" s="229">
        <v>205</v>
      </c>
      <c r="C209" s="6" t="s">
        <v>12</v>
      </c>
      <c r="D209" s="133" t="s">
        <v>385</v>
      </c>
      <c r="E209" s="12" t="s">
        <v>237</v>
      </c>
      <c r="F209" s="22" t="s">
        <v>659</v>
      </c>
      <c r="G209" s="113" t="s">
        <v>238</v>
      </c>
      <c r="H209" s="215">
        <v>600000</v>
      </c>
      <c r="I209" s="51">
        <v>5</v>
      </c>
      <c r="J209" s="56">
        <v>0.7</v>
      </c>
      <c r="K209" s="50"/>
      <c r="L209" s="57"/>
      <c r="M209" s="62">
        <v>9.9999999999999982</v>
      </c>
      <c r="N209" s="63">
        <v>9.9999999999999982</v>
      </c>
      <c r="O209" s="63">
        <v>6.0000000000000036</v>
      </c>
      <c r="P209" s="63">
        <v>9.9999999999999982</v>
      </c>
      <c r="Q209" s="63">
        <v>1</v>
      </c>
      <c r="R209" s="63">
        <v>9.9999999999999982</v>
      </c>
      <c r="S209" s="63">
        <v>0</v>
      </c>
      <c r="T209" s="64">
        <v>8.0000000000000053</v>
      </c>
      <c r="U209" s="67" t="e">
        <f t="shared" ca="1" si="109"/>
        <v>#DIV/0!</v>
      </c>
      <c r="V209" s="67">
        <f t="shared" ca="1" si="110"/>
        <v>0.7</v>
      </c>
      <c r="W209" s="69">
        <f t="shared" si="111"/>
        <v>1.5789473684210524</v>
      </c>
      <c r="X209" s="69">
        <f t="shared" si="112"/>
        <v>1.0526315789473681</v>
      </c>
      <c r="Y209" s="69">
        <f t="shared" si="113"/>
        <v>0.84210526315789525</v>
      </c>
      <c r="Z209" s="69">
        <f t="shared" si="114"/>
        <v>1.7543859649122804</v>
      </c>
      <c r="AA209" s="69">
        <f t="shared" si="115"/>
        <v>8.771929824561403E-2</v>
      </c>
      <c r="AB209" s="69">
        <f t="shared" si="116"/>
        <v>1.2280701754385963</v>
      </c>
      <c r="AC209" s="69">
        <f t="shared" si="117"/>
        <v>0</v>
      </c>
      <c r="AD209" s="70">
        <f t="shared" si="118"/>
        <v>0.84210526315789525</v>
      </c>
      <c r="AE209" s="71">
        <f t="shared" si="119"/>
        <v>0.5</v>
      </c>
      <c r="AF209" s="71">
        <f t="shared" ca="1" si="120"/>
        <v>0.30000000000000004</v>
      </c>
      <c r="AG209" s="72">
        <f t="shared" ca="1" si="121"/>
        <v>0.43333333333333335</v>
      </c>
      <c r="AH209" s="177">
        <f t="shared" si="122"/>
        <v>7.3859649122807021</v>
      </c>
      <c r="AI209" s="185">
        <f t="shared" ca="1" si="123"/>
        <v>32.005847953216374</v>
      </c>
      <c r="AJ209" s="179" t="str">
        <f t="shared" ca="1" si="108"/>
        <v>Q3</v>
      </c>
      <c r="AK209" s="90" t="s">
        <v>329</v>
      </c>
      <c r="AL209" s="101"/>
      <c r="AM209" s="269"/>
      <c r="AN209" s="103"/>
      <c r="AO209" s="108"/>
      <c r="AP209" s="199"/>
      <c r="AQ209" s="299"/>
      <c r="AR209" s="165"/>
      <c r="AS209" s="164"/>
      <c r="AT209" s="164"/>
      <c r="AU209" s="320"/>
      <c r="AV209" s="324"/>
      <c r="AW209" s="89"/>
    </row>
    <row r="210" spans="1:49" ht="36" customHeight="1">
      <c r="A210" s="5">
        <v>261</v>
      </c>
      <c r="B210" s="229">
        <v>206</v>
      </c>
      <c r="C210" s="6" t="s">
        <v>6</v>
      </c>
      <c r="D210" s="133" t="s">
        <v>7</v>
      </c>
      <c r="E210" s="7" t="s">
        <v>217</v>
      </c>
      <c r="F210" s="9" t="s">
        <v>566</v>
      </c>
      <c r="G210" s="8"/>
      <c r="H210" s="213">
        <v>350000</v>
      </c>
      <c r="I210" s="50">
        <v>4</v>
      </c>
      <c r="J210" s="56">
        <v>0.3</v>
      </c>
      <c r="K210" s="50"/>
      <c r="L210" s="57"/>
      <c r="M210" s="62">
        <v>5</v>
      </c>
      <c r="N210" s="63">
        <v>8.0000000000000053</v>
      </c>
      <c r="O210" s="63">
        <v>4.0000000000000027</v>
      </c>
      <c r="P210" s="63">
        <v>6.0000000000000036</v>
      </c>
      <c r="Q210" s="63">
        <v>1</v>
      </c>
      <c r="R210" s="63">
        <v>8</v>
      </c>
      <c r="S210" s="63">
        <v>0</v>
      </c>
      <c r="T210" s="64">
        <v>7</v>
      </c>
      <c r="U210" s="67" t="e">
        <f t="shared" ca="1" si="109"/>
        <v>#DIV/0!</v>
      </c>
      <c r="V210" s="67">
        <f t="shared" ca="1" si="110"/>
        <v>0.3</v>
      </c>
      <c r="W210" s="69">
        <f t="shared" si="111"/>
        <v>0.78947368421052633</v>
      </c>
      <c r="X210" s="69">
        <f t="shared" si="112"/>
        <v>0.84210526315789525</v>
      </c>
      <c r="Y210" s="69">
        <f t="shared" si="113"/>
        <v>0.56140350877193024</v>
      </c>
      <c r="Z210" s="69">
        <f t="shared" si="114"/>
        <v>1.052631578947369</v>
      </c>
      <c r="AA210" s="69">
        <f t="shared" si="115"/>
        <v>8.771929824561403E-2</v>
      </c>
      <c r="AB210" s="69">
        <f t="shared" si="116"/>
        <v>0.98245614035087714</v>
      </c>
      <c r="AC210" s="69">
        <f t="shared" si="117"/>
        <v>0</v>
      </c>
      <c r="AD210" s="70">
        <f t="shared" si="118"/>
        <v>0.73684210526315785</v>
      </c>
      <c r="AE210" s="71">
        <f t="shared" si="119"/>
        <v>0.6</v>
      </c>
      <c r="AF210" s="71">
        <f t="shared" ca="1" si="120"/>
        <v>0.7</v>
      </c>
      <c r="AG210" s="72">
        <f t="shared" ca="1" si="121"/>
        <v>0.6333333333333333</v>
      </c>
      <c r="AH210" s="177">
        <f t="shared" si="122"/>
        <v>5.0526315789473699</v>
      </c>
      <c r="AI210" s="185">
        <f t="shared" ca="1" si="123"/>
        <v>32.000000000000007</v>
      </c>
      <c r="AJ210" s="179" t="str">
        <f t="shared" ca="1" si="108"/>
        <v>Q4</v>
      </c>
      <c r="AK210" s="88" t="s">
        <v>329</v>
      </c>
      <c r="AL210" s="192"/>
      <c r="AM210" s="103"/>
      <c r="AN210" s="103"/>
      <c r="AO210" s="108"/>
      <c r="AP210" s="199"/>
      <c r="AQ210" s="299"/>
      <c r="AR210" s="295"/>
      <c r="AS210" s="164"/>
      <c r="AT210" s="164"/>
      <c r="AU210" s="320"/>
      <c r="AV210" s="324"/>
      <c r="AW210" s="89"/>
    </row>
    <row r="211" spans="1:49" ht="36" customHeight="1">
      <c r="A211" s="5">
        <v>280</v>
      </c>
      <c r="B211" s="229">
        <v>207</v>
      </c>
      <c r="C211" s="6" t="s">
        <v>42</v>
      </c>
      <c r="D211" s="133" t="s">
        <v>7</v>
      </c>
      <c r="E211" s="18" t="s">
        <v>233</v>
      </c>
      <c r="F211" s="8" t="s">
        <v>517</v>
      </c>
      <c r="G211" s="20" t="s">
        <v>234</v>
      </c>
      <c r="H211" s="215">
        <v>193000</v>
      </c>
      <c r="I211" s="51">
        <v>5</v>
      </c>
      <c r="J211" s="56">
        <v>0.2</v>
      </c>
      <c r="K211" s="50"/>
      <c r="L211" s="57"/>
      <c r="M211" s="62">
        <v>8.0000000000000053</v>
      </c>
      <c r="N211" s="63">
        <v>1</v>
      </c>
      <c r="O211" s="63">
        <v>8.0000000000000053</v>
      </c>
      <c r="P211" s="63">
        <v>6.0000000000000036</v>
      </c>
      <c r="Q211" s="63">
        <v>8.0000000000000053</v>
      </c>
      <c r="R211" s="63">
        <v>1</v>
      </c>
      <c r="S211" s="63">
        <v>3</v>
      </c>
      <c r="T211" s="64">
        <v>6.0000000000000036</v>
      </c>
      <c r="U211" s="67" t="e">
        <f t="shared" ca="1" si="109"/>
        <v>#DIV/0!</v>
      </c>
      <c r="V211" s="67">
        <f t="shared" ca="1" si="110"/>
        <v>0.2</v>
      </c>
      <c r="W211" s="69">
        <f t="shared" si="111"/>
        <v>1.2631578947368429</v>
      </c>
      <c r="X211" s="69">
        <f t="shared" si="112"/>
        <v>0.10526315789473684</v>
      </c>
      <c r="Y211" s="69">
        <f t="shared" si="113"/>
        <v>1.1228070175438605</v>
      </c>
      <c r="Z211" s="69">
        <f t="shared" si="114"/>
        <v>1.052631578947369</v>
      </c>
      <c r="AA211" s="69">
        <f t="shared" si="115"/>
        <v>0.7017543859649128</v>
      </c>
      <c r="AB211" s="69">
        <f t="shared" si="116"/>
        <v>0.12280701754385964</v>
      </c>
      <c r="AC211" s="69">
        <f t="shared" si="117"/>
        <v>0.31578947368421051</v>
      </c>
      <c r="AD211" s="70">
        <f t="shared" si="118"/>
        <v>0.63157894736842146</v>
      </c>
      <c r="AE211" s="71">
        <f t="shared" si="119"/>
        <v>0.5</v>
      </c>
      <c r="AF211" s="71">
        <f t="shared" ca="1" si="120"/>
        <v>0.8</v>
      </c>
      <c r="AG211" s="72">
        <f t="shared" ca="1" si="121"/>
        <v>0.6</v>
      </c>
      <c r="AH211" s="177">
        <f t="shared" si="122"/>
        <v>5.3157894736842133</v>
      </c>
      <c r="AI211" s="185">
        <f t="shared" ca="1" si="123"/>
        <v>31.894736842105278</v>
      </c>
      <c r="AJ211" s="179" t="str">
        <f t="shared" ca="1" si="108"/>
        <v>Q4</v>
      </c>
      <c r="AK211" s="90" t="s">
        <v>329</v>
      </c>
      <c r="AL211" s="194"/>
      <c r="AM211" s="103"/>
      <c r="AN211" s="108"/>
      <c r="AO211" s="107"/>
      <c r="AP211" s="108"/>
      <c r="AQ211" s="299"/>
      <c r="AR211" s="295"/>
      <c r="AS211" s="164"/>
      <c r="AT211" s="164"/>
      <c r="AU211" s="320"/>
      <c r="AV211" s="324"/>
      <c r="AW211" s="89"/>
    </row>
    <row r="212" spans="1:49" ht="36" customHeight="1">
      <c r="A212" s="5">
        <v>271</v>
      </c>
      <c r="B212" s="229">
        <v>208</v>
      </c>
      <c r="C212" s="6" t="s">
        <v>20</v>
      </c>
      <c r="D212" s="133" t="s">
        <v>7</v>
      </c>
      <c r="E212" s="18" t="s">
        <v>223</v>
      </c>
      <c r="F212" s="19" t="s">
        <v>224</v>
      </c>
      <c r="G212" s="20" t="s">
        <v>225</v>
      </c>
      <c r="H212" s="215">
        <v>80000</v>
      </c>
      <c r="I212" s="51">
        <v>3</v>
      </c>
      <c r="J212" s="56">
        <v>0</v>
      </c>
      <c r="K212" s="50"/>
      <c r="L212" s="57"/>
      <c r="M212" s="62">
        <v>6.0000000000000036</v>
      </c>
      <c r="N212" s="63">
        <v>1</v>
      </c>
      <c r="O212" s="63">
        <v>6.0000000000000036</v>
      </c>
      <c r="P212" s="63">
        <v>4.0000000000000027</v>
      </c>
      <c r="Q212" s="63">
        <v>6.0000000000000036</v>
      </c>
      <c r="R212" s="63">
        <v>1</v>
      </c>
      <c r="S212" s="63">
        <v>1</v>
      </c>
      <c r="T212" s="64">
        <v>6.0000000000000036</v>
      </c>
      <c r="U212" s="67" t="e">
        <f t="shared" ca="1" si="109"/>
        <v>#DIV/0!</v>
      </c>
      <c r="V212" s="67">
        <f t="shared" ca="1" si="110"/>
        <v>0</v>
      </c>
      <c r="W212" s="69">
        <f t="shared" si="111"/>
        <v>0.94736842105263208</v>
      </c>
      <c r="X212" s="69">
        <f t="shared" si="112"/>
        <v>0.10526315789473684</v>
      </c>
      <c r="Y212" s="69">
        <f t="shared" si="113"/>
        <v>0.84210526315789525</v>
      </c>
      <c r="Z212" s="69">
        <f t="shared" si="114"/>
        <v>0.7017543859649128</v>
      </c>
      <c r="AA212" s="69">
        <f t="shared" si="115"/>
        <v>0.52631578947368451</v>
      </c>
      <c r="AB212" s="69">
        <f t="shared" si="116"/>
        <v>0.12280701754385964</v>
      </c>
      <c r="AC212" s="69">
        <f t="shared" si="117"/>
        <v>0.10526315789473684</v>
      </c>
      <c r="AD212" s="70">
        <f t="shared" si="118"/>
        <v>0.63157894736842146</v>
      </c>
      <c r="AE212" s="71">
        <f t="shared" si="119"/>
        <v>0.7</v>
      </c>
      <c r="AF212" s="71">
        <f t="shared" ca="1" si="120"/>
        <v>1</v>
      </c>
      <c r="AG212" s="72">
        <f t="shared" ca="1" si="121"/>
        <v>0.79999999999999993</v>
      </c>
      <c r="AH212" s="177">
        <f t="shared" si="122"/>
        <v>3.9824561403508794</v>
      </c>
      <c r="AI212" s="185">
        <f t="shared" ca="1" si="123"/>
        <v>31.859649122807031</v>
      </c>
      <c r="AJ212" s="179" t="str">
        <f t="shared" ca="1" si="108"/>
        <v>Q2</v>
      </c>
      <c r="AK212" s="90" t="s">
        <v>329</v>
      </c>
      <c r="AL212" s="194"/>
      <c r="AM212" s="103"/>
      <c r="AN212" s="103"/>
      <c r="AO212" s="103"/>
      <c r="AP212" s="108"/>
      <c r="AQ212" s="299"/>
      <c r="AR212" s="295"/>
      <c r="AS212" s="164"/>
      <c r="AT212" s="164"/>
      <c r="AU212" s="320"/>
      <c r="AV212" s="324"/>
      <c r="AW212" s="89"/>
    </row>
    <row r="213" spans="1:49" ht="36" customHeight="1">
      <c r="A213" s="153">
        <v>240</v>
      </c>
      <c r="B213" s="229">
        <v>209</v>
      </c>
      <c r="C213" s="6" t="s">
        <v>18</v>
      </c>
      <c r="D213" s="133" t="s">
        <v>385</v>
      </c>
      <c r="E213" s="12" t="s">
        <v>660</v>
      </c>
      <c r="F213" s="22" t="s">
        <v>193</v>
      </c>
      <c r="G213" s="102" t="s">
        <v>194</v>
      </c>
      <c r="H213" s="213">
        <v>75000</v>
      </c>
      <c r="I213" s="51">
        <v>3</v>
      </c>
      <c r="J213" s="56">
        <v>0.4</v>
      </c>
      <c r="K213" s="50"/>
      <c r="L213" s="57"/>
      <c r="M213" s="62">
        <v>6.0000000000000036</v>
      </c>
      <c r="N213" s="63">
        <v>6.0000000000000036</v>
      </c>
      <c r="O213" s="63">
        <v>4.0000000000000027</v>
      </c>
      <c r="P213" s="63">
        <v>6.0000000000000036</v>
      </c>
      <c r="Q213" s="63">
        <v>4.0000000000000027</v>
      </c>
      <c r="R213" s="63">
        <v>4.0000000000000027</v>
      </c>
      <c r="S213" s="63">
        <v>1</v>
      </c>
      <c r="T213" s="64">
        <v>6.0000000000000036</v>
      </c>
      <c r="U213" s="67" t="e">
        <f t="shared" ca="1" si="109"/>
        <v>#DIV/0!</v>
      </c>
      <c r="V213" s="67">
        <f t="shared" ca="1" si="110"/>
        <v>0.4</v>
      </c>
      <c r="W213" s="69">
        <f t="shared" si="111"/>
        <v>0.94736842105263208</v>
      </c>
      <c r="X213" s="69">
        <f t="shared" si="112"/>
        <v>0.63157894736842146</v>
      </c>
      <c r="Y213" s="69">
        <f t="shared" si="113"/>
        <v>0.56140350877193024</v>
      </c>
      <c r="Z213" s="69">
        <f t="shared" si="114"/>
        <v>1.052631578947369</v>
      </c>
      <c r="AA213" s="69">
        <f t="shared" si="115"/>
        <v>0.3508771929824564</v>
      </c>
      <c r="AB213" s="69">
        <f t="shared" si="116"/>
        <v>0.4912280701754389</v>
      </c>
      <c r="AC213" s="69">
        <f t="shared" si="117"/>
        <v>0.10526315789473684</v>
      </c>
      <c r="AD213" s="70">
        <f t="shared" si="118"/>
        <v>0.63157894736842146</v>
      </c>
      <c r="AE213" s="71">
        <f t="shared" si="119"/>
        <v>0.7</v>
      </c>
      <c r="AF213" s="71">
        <f t="shared" ca="1" si="120"/>
        <v>0.6</v>
      </c>
      <c r="AG213" s="72">
        <f t="shared" ca="1" si="121"/>
        <v>0.66666666666666663</v>
      </c>
      <c r="AH213" s="177">
        <f t="shared" si="122"/>
        <v>4.7719298245614068</v>
      </c>
      <c r="AI213" s="185">
        <f t="shared" ca="1" si="123"/>
        <v>31.812865497076043</v>
      </c>
      <c r="AJ213" s="179" t="str">
        <f t="shared" ref="AJ213:AJ244" ca="1" si="124">IF(AG213&gt;$AG$2,IF(AH213&gt;$AH$2,"Q1","Q2"),IF(AH213&gt;$AH$2,"Q3","Q4"))</f>
        <v>Q4</v>
      </c>
      <c r="AK213" s="90" t="s">
        <v>329</v>
      </c>
      <c r="AL213" s="194"/>
      <c r="AM213" s="103"/>
      <c r="AN213" s="103"/>
      <c r="AO213" s="103"/>
      <c r="AP213" s="108"/>
      <c r="AQ213" s="299"/>
      <c r="AR213" s="295"/>
      <c r="AS213" s="164"/>
      <c r="AT213" s="164"/>
      <c r="AU213" s="320"/>
      <c r="AV213" s="324"/>
      <c r="AW213" s="89"/>
    </row>
    <row r="214" spans="1:49" ht="36" customHeight="1">
      <c r="A214" s="5"/>
      <c r="B214" s="229">
        <v>210</v>
      </c>
      <c r="C214" s="6" t="s">
        <v>6</v>
      </c>
      <c r="D214" s="133" t="s">
        <v>7</v>
      </c>
      <c r="E214" s="7" t="s">
        <v>391</v>
      </c>
      <c r="F214" s="9" t="s">
        <v>400</v>
      </c>
      <c r="G214" s="8"/>
      <c r="H214" s="213">
        <v>700000</v>
      </c>
      <c r="I214" s="51">
        <v>4</v>
      </c>
      <c r="J214" s="56">
        <v>0.2</v>
      </c>
      <c r="K214" s="50"/>
      <c r="L214" s="57"/>
      <c r="M214" s="62">
        <v>4</v>
      </c>
      <c r="N214" s="63">
        <v>6</v>
      </c>
      <c r="O214" s="63">
        <v>4</v>
      </c>
      <c r="P214" s="63">
        <v>4</v>
      </c>
      <c r="Q214" s="63">
        <v>4</v>
      </c>
      <c r="R214" s="63">
        <v>5</v>
      </c>
      <c r="S214" s="63">
        <v>4</v>
      </c>
      <c r="T214" s="64">
        <v>8</v>
      </c>
      <c r="U214" s="67" t="e">
        <f t="shared" ca="1" si="109"/>
        <v>#DIV/0!</v>
      </c>
      <c r="V214" s="67">
        <f t="shared" ca="1" si="110"/>
        <v>0.2</v>
      </c>
      <c r="W214" s="69">
        <f t="shared" si="111"/>
        <v>0.63157894736842102</v>
      </c>
      <c r="X214" s="69">
        <f t="shared" si="112"/>
        <v>0.63157894736842102</v>
      </c>
      <c r="Y214" s="69">
        <f t="shared" si="113"/>
        <v>0.56140350877192979</v>
      </c>
      <c r="Z214" s="69">
        <f t="shared" si="114"/>
        <v>0.70175438596491224</v>
      </c>
      <c r="AA214" s="69">
        <f t="shared" si="115"/>
        <v>0.35087719298245612</v>
      </c>
      <c r="AB214" s="69">
        <f t="shared" si="116"/>
        <v>0.61403508771929827</v>
      </c>
      <c r="AC214" s="69">
        <f t="shared" si="117"/>
        <v>0.42105263157894735</v>
      </c>
      <c r="AD214" s="70">
        <f t="shared" si="118"/>
        <v>0.84210526315789469</v>
      </c>
      <c r="AE214" s="71">
        <f t="shared" si="119"/>
        <v>0.6</v>
      </c>
      <c r="AF214" s="71">
        <f t="shared" ca="1" si="120"/>
        <v>0.8</v>
      </c>
      <c r="AG214" s="72">
        <f t="shared" ca="1" si="121"/>
        <v>0.66666666666666663</v>
      </c>
      <c r="AH214" s="177">
        <f t="shared" si="122"/>
        <v>4.7543859649122808</v>
      </c>
      <c r="AI214" s="185">
        <f t="shared" ca="1" si="123"/>
        <v>31.695906432748536</v>
      </c>
      <c r="AJ214" s="179" t="str">
        <f t="shared" ca="1" si="124"/>
        <v>Q4</v>
      </c>
      <c r="AK214" s="88" t="s">
        <v>329</v>
      </c>
      <c r="AL214" s="100"/>
      <c r="AM214" s="269"/>
      <c r="AN214" s="103"/>
      <c r="AO214" s="103"/>
      <c r="AP214" s="108"/>
      <c r="AQ214" s="299"/>
      <c r="AR214" s="165"/>
      <c r="AS214" s="164"/>
      <c r="AT214" s="164"/>
      <c r="AU214" s="320"/>
      <c r="AV214" s="324"/>
      <c r="AW214" s="89"/>
    </row>
    <row r="215" spans="1:49" ht="36" customHeight="1">
      <c r="A215" s="5">
        <v>201</v>
      </c>
      <c r="B215" s="229">
        <v>211</v>
      </c>
      <c r="C215" s="6" t="s">
        <v>18</v>
      </c>
      <c r="D215" s="133" t="s">
        <v>7</v>
      </c>
      <c r="E215" s="18" t="s">
        <v>581</v>
      </c>
      <c r="F215" s="20" t="s">
        <v>679</v>
      </c>
      <c r="G215" s="20" t="s">
        <v>146</v>
      </c>
      <c r="H215" s="215">
        <v>114500</v>
      </c>
      <c r="I215" s="51">
        <v>4</v>
      </c>
      <c r="J215" s="56">
        <v>0.3</v>
      </c>
      <c r="K215" s="50"/>
      <c r="L215" s="57"/>
      <c r="M215" s="62">
        <v>4.0000000000000027</v>
      </c>
      <c r="N215" s="63">
        <v>6.0000000000000036</v>
      </c>
      <c r="O215" s="63">
        <v>4.0000000000000027</v>
      </c>
      <c r="P215" s="63">
        <v>8.0000000000000053</v>
      </c>
      <c r="Q215" s="63">
        <v>4.0000000000000027</v>
      </c>
      <c r="R215" s="63">
        <v>6.0000000000000036</v>
      </c>
      <c r="S215" s="63">
        <v>0</v>
      </c>
      <c r="T215" s="64">
        <v>6.0000000000000036</v>
      </c>
      <c r="U215" s="67" t="e">
        <f t="shared" ca="1" si="109"/>
        <v>#DIV/0!</v>
      </c>
      <c r="V215" s="67">
        <f t="shared" ca="1" si="110"/>
        <v>0.3</v>
      </c>
      <c r="W215" s="69">
        <f t="shared" si="111"/>
        <v>0.63157894736842146</v>
      </c>
      <c r="X215" s="69">
        <f t="shared" si="112"/>
        <v>0.63157894736842146</v>
      </c>
      <c r="Y215" s="69">
        <f t="shared" si="113"/>
        <v>0.56140350877193024</v>
      </c>
      <c r="Z215" s="69">
        <f t="shared" si="114"/>
        <v>1.4035087719298256</v>
      </c>
      <c r="AA215" s="69">
        <f t="shared" si="115"/>
        <v>0.3508771929824564</v>
      </c>
      <c r="AB215" s="69">
        <f t="shared" si="116"/>
        <v>0.73684210526315841</v>
      </c>
      <c r="AC215" s="69">
        <f t="shared" si="117"/>
        <v>0</v>
      </c>
      <c r="AD215" s="70">
        <f t="shared" si="118"/>
        <v>0.63157894736842146</v>
      </c>
      <c r="AE215" s="71">
        <f t="shared" si="119"/>
        <v>0.6</v>
      </c>
      <c r="AF215" s="71">
        <f t="shared" ca="1" si="120"/>
        <v>0.7</v>
      </c>
      <c r="AG215" s="72">
        <f t="shared" ca="1" si="121"/>
        <v>0.6333333333333333</v>
      </c>
      <c r="AH215" s="177">
        <f t="shared" si="122"/>
        <v>4.9473684210526345</v>
      </c>
      <c r="AI215" s="185">
        <f t="shared" ca="1" si="123"/>
        <v>31.33333333333335</v>
      </c>
      <c r="AJ215" s="179" t="str">
        <f t="shared" ca="1" si="124"/>
        <v>Q4</v>
      </c>
      <c r="AK215" s="90" t="s">
        <v>329</v>
      </c>
      <c r="AL215" s="194"/>
      <c r="AM215" s="103"/>
      <c r="AN215" s="103"/>
      <c r="AO215" s="103"/>
      <c r="AP215" s="108"/>
      <c r="AQ215" s="299"/>
      <c r="AR215" s="295"/>
      <c r="AS215" s="164"/>
      <c r="AT215" s="164"/>
      <c r="AU215" s="320"/>
      <c r="AV215" s="324"/>
      <c r="AW215" s="89"/>
    </row>
    <row r="216" spans="1:49" s="124" customFormat="1" ht="36" customHeight="1">
      <c r="A216" s="5">
        <v>118</v>
      </c>
      <c r="B216" s="229">
        <v>212</v>
      </c>
      <c r="C216" s="6" t="s">
        <v>42</v>
      </c>
      <c r="D216" s="133" t="s">
        <v>7</v>
      </c>
      <c r="E216" s="18" t="s">
        <v>602</v>
      </c>
      <c r="F216" s="20" t="s">
        <v>70</v>
      </c>
      <c r="G216" s="20" t="s">
        <v>71</v>
      </c>
      <c r="H216" s="215">
        <v>100000</v>
      </c>
      <c r="I216" s="51">
        <v>3</v>
      </c>
      <c r="J216" s="56">
        <v>0.3</v>
      </c>
      <c r="K216" s="50"/>
      <c r="L216" s="57"/>
      <c r="M216" s="62">
        <v>5</v>
      </c>
      <c r="N216" s="63">
        <v>4.0000000000000027</v>
      </c>
      <c r="O216" s="63">
        <v>4.0000000000000027</v>
      </c>
      <c r="P216" s="63">
        <v>6.0000000000000036</v>
      </c>
      <c r="Q216" s="63">
        <v>6.0000000000000036</v>
      </c>
      <c r="R216" s="63">
        <v>4.0000000000000027</v>
      </c>
      <c r="S216" s="63">
        <v>0</v>
      </c>
      <c r="T216" s="64">
        <v>6.0000000000000036</v>
      </c>
      <c r="U216" s="67" t="e">
        <f t="shared" ca="1" si="109"/>
        <v>#DIV/0!</v>
      </c>
      <c r="V216" s="67">
        <f t="shared" ca="1" si="110"/>
        <v>0.3</v>
      </c>
      <c r="W216" s="69">
        <f t="shared" si="111"/>
        <v>0.78947368421052633</v>
      </c>
      <c r="X216" s="69">
        <f t="shared" si="112"/>
        <v>0.42105263157894762</v>
      </c>
      <c r="Y216" s="69">
        <f t="shared" si="113"/>
        <v>0.56140350877193024</v>
      </c>
      <c r="Z216" s="69">
        <f t="shared" si="114"/>
        <v>1.052631578947369</v>
      </c>
      <c r="AA216" s="69">
        <f t="shared" si="115"/>
        <v>0.52631578947368451</v>
      </c>
      <c r="AB216" s="69">
        <f t="shared" si="116"/>
        <v>0.4912280701754389</v>
      </c>
      <c r="AC216" s="69">
        <f t="shared" si="117"/>
        <v>0</v>
      </c>
      <c r="AD216" s="70">
        <f t="shared" si="118"/>
        <v>0.63157894736842146</v>
      </c>
      <c r="AE216" s="71">
        <f t="shared" si="119"/>
        <v>0.7</v>
      </c>
      <c r="AF216" s="71">
        <f t="shared" ca="1" si="120"/>
        <v>0.7</v>
      </c>
      <c r="AG216" s="72">
        <f t="shared" ca="1" si="121"/>
        <v>0.69999999999999984</v>
      </c>
      <c r="AH216" s="177">
        <f t="shared" si="122"/>
        <v>4.4736842105263177</v>
      </c>
      <c r="AI216" s="185">
        <f t="shared" ca="1" si="123"/>
        <v>31.315789473684216</v>
      </c>
      <c r="AJ216" s="179" t="str">
        <f t="shared" ca="1" si="124"/>
        <v>Q4</v>
      </c>
      <c r="AK216" s="90" t="s">
        <v>329</v>
      </c>
      <c r="AL216" s="194"/>
      <c r="AM216" s="103"/>
      <c r="AN216" s="103"/>
      <c r="AO216" s="103"/>
      <c r="AP216" s="108"/>
      <c r="AQ216" s="299"/>
      <c r="AR216" s="295"/>
      <c r="AS216" s="164"/>
      <c r="AT216" s="164"/>
      <c r="AU216" s="320"/>
      <c r="AV216" s="324"/>
      <c r="AW216" s="89"/>
    </row>
    <row r="217" spans="1:49" ht="36" customHeight="1">
      <c r="A217" s="1">
        <v>297</v>
      </c>
      <c r="B217" s="229">
        <v>213</v>
      </c>
      <c r="C217" s="2" t="s">
        <v>20</v>
      </c>
      <c r="D217" s="132" t="s">
        <v>7</v>
      </c>
      <c r="E217" s="136" t="s">
        <v>253</v>
      </c>
      <c r="F217" s="137" t="s">
        <v>562</v>
      </c>
      <c r="G217" s="137" t="s">
        <v>254</v>
      </c>
      <c r="H217" s="215">
        <v>169000</v>
      </c>
      <c r="I217" s="142">
        <v>3</v>
      </c>
      <c r="J217" s="139">
        <v>0</v>
      </c>
      <c r="K217" s="138"/>
      <c r="L217" s="140"/>
      <c r="M217" s="62">
        <v>4.0000000000000027</v>
      </c>
      <c r="N217" s="63">
        <v>1</v>
      </c>
      <c r="O217" s="63">
        <v>4.0000000000000027</v>
      </c>
      <c r="P217" s="63">
        <v>8.0000000000000053</v>
      </c>
      <c r="Q217" s="63">
        <v>4.0000000000000027</v>
      </c>
      <c r="R217" s="63">
        <v>1</v>
      </c>
      <c r="S217" s="63">
        <v>3</v>
      </c>
      <c r="T217" s="64">
        <v>4.0000000000000027</v>
      </c>
      <c r="U217" s="141" t="e">
        <f t="shared" ca="1" si="109"/>
        <v>#DIV/0!</v>
      </c>
      <c r="V217" s="141">
        <f t="shared" ca="1" si="110"/>
        <v>0</v>
      </c>
      <c r="W217" s="69">
        <f t="shared" si="111"/>
        <v>0.63157894736842146</v>
      </c>
      <c r="X217" s="69">
        <f t="shared" si="112"/>
        <v>0.10526315789473684</v>
      </c>
      <c r="Y217" s="69">
        <f t="shared" si="113"/>
        <v>0.56140350877193024</v>
      </c>
      <c r="Z217" s="69">
        <f t="shared" si="114"/>
        <v>1.4035087719298256</v>
      </c>
      <c r="AA217" s="69">
        <f t="shared" si="115"/>
        <v>0.3508771929824564</v>
      </c>
      <c r="AB217" s="69">
        <f t="shared" si="116"/>
        <v>0.12280701754385964</v>
      </c>
      <c r="AC217" s="69">
        <f t="shared" si="117"/>
        <v>0.31578947368421051</v>
      </c>
      <c r="AD217" s="70">
        <f t="shared" si="118"/>
        <v>0.42105263157894762</v>
      </c>
      <c r="AE217" s="71">
        <f t="shared" si="119"/>
        <v>0.7</v>
      </c>
      <c r="AF217" s="71">
        <f t="shared" ca="1" si="120"/>
        <v>1</v>
      </c>
      <c r="AG217" s="72">
        <f t="shared" ca="1" si="121"/>
        <v>0.79999999999999993</v>
      </c>
      <c r="AH217" s="176">
        <f t="shared" si="122"/>
        <v>3.9122807017543888</v>
      </c>
      <c r="AI217" s="184">
        <f t="shared" ca="1" si="123"/>
        <v>31.29824561403511</v>
      </c>
      <c r="AJ217" s="179" t="str">
        <f t="shared" ca="1" si="124"/>
        <v>Q2</v>
      </c>
      <c r="AK217" s="135" t="s">
        <v>329</v>
      </c>
      <c r="AL217" s="194"/>
      <c r="AM217" s="103"/>
      <c r="AN217" s="103"/>
      <c r="AO217" s="103"/>
      <c r="AP217" s="108"/>
      <c r="AQ217" s="299"/>
      <c r="AR217" s="295"/>
      <c r="AS217" s="164"/>
      <c r="AT217" s="164"/>
      <c r="AU217" s="320"/>
      <c r="AV217" s="324"/>
      <c r="AW217" s="87"/>
    </row>
    <row r="218" spans="1:49" ht="36" customHeight="1">
      <c r="A218" s="153">
        <v>232</v>
      </c>
      <c r="B218" s="229">
        <v>214</v>
      </c>
      <c r="C218" s="14" t="s">
        <v>6</v>
      </c>
      <c r="D218" s="168" t="s">
        <v>7</v>
      </c>
      <c r="E218" s="7" t="s">
        <v>181</v>
      </c>
      <c r="F218" s="8" t="s">
        <v>182</v>
      </c>
      <c r="G218" s="8"/>
      <c r="H218" s="213">
        <v>1000000</v>
      </c>
      <c r="I218" s="50">
        <v>3</v>
      </c>
      <c r="J218" s="56">
        <v>0.3</v>
      </c>
      <c r="K218" s="50"/>
      <c r="L218" s="57"/>
      <c r="M218" s="62">
        <v>4.0000000000000027</v>
      </c>
      <c r="N218" s="63">
        <v>6.0000000000000036</v>
      </c>
      <c r="O218" s="63">
        <v>3</v>
      </c>
      <c r="P218" s="63">
        <v>5</v>
      </c>
      <c r="Q218" s="63">
        <v>5</v>
      </c>
      <c r="R218" s="63">
        <v>5</v>
      </c>
      <c r="S218" s="63">
        <v>2</v>
      </c>
      <c r="T218" s="64">
        <v>6.0000000000000036</v>
      </c>
      <c r="U218" s="67" t="e">
        <f t="shared" ca="1" si="109"/>
        <v>#DIV/0!</v>
      </c>
      <c r="V218" s="67">
        <f t="shared" ca="1" si="110"/>
        <v>0.3</v>
      </c>
      <c r="W218" s="69">
        <f t="shared" si="111"/>
        <v>0.63157894736842146</v>
      </c>
      <c r="X218" s="69">
        <f t="shared" si="112"/>
        <v>0.63157894736842146</v>
      </c>
      <c r="Y218" s="69">
        <f t="shared" si="113"/>
        <v>0.42105263157894735</v>
      </c>
      <c r="Z218" s="69">
        <f t="shared" si="114"/>
        <v>0.8771929824561403</v>
      </c>
      <c r="AA218" s="69">
        <f t="shared" si="115"/>
        <v>0.43859649122807015</v>
      </c>
      <c r="AB218" s="69">
        <f t="shared" si="116"/>
        <v>0.61403508771929827</v>
      </c>
      <c r="AC218" s="69">
        <f t="shared" si="117"/>
        <v>0.21052631578947367</v>
      </c>
      <c r="AD218" s="70">
        <f t="shared" si="118"/>
        <v>0.63157894736842146</v>
      </c>
      <c r="AE218" s="71">
        <f t="shared" si="119"/>
        <v>0.7</v>
      </c>
      <c r="AF218" s="71">
        <f t="shared" ca="1" si="120"/>
        <v>0.7</v>
      </c>
      <c r="AG218" s="72">
        <f t="shared" ca="1" si="121"/>
        <v>0.69999999999999984</v>
      </c>
      <c r="AH218" s="177">
        <f t="shared" si="122"/>
        <v>4.4561403508771944</v>
      </c>
      <c r="AI218" s="185">
        <f t="shared" ca="1" si="123"/>
        <v>31.192982456140356</v>
      </c>
      <c r="AJ218" s="179" t="str">
        <f t="shared" ca="1" si="124"/>
        <v>Q4</v>
      </c>
      <c r="AK218" s="88" t="s">
        <v>329</v>
      </c>
      <c r="AL218" s="193"/>
      <c r="AM218" s="103"/>
      <c r="AN218" s="103"/>
      <c r="AO218" s="103"/>
      <c r="AP218" s="108"/>
      <c r="AQ218" s="299"/>
      <c r="AR218" s="295"/>
      <c r="AS218" s="164"/>
      <c r="AT218" s="164"/>
      <c r="AU218" s="320"/>
      <c r="AV218" s="324"/>
      <c r="AW218" s="89"/>
    </row>
    <row r="219" spans="1:49" ht="36" customHeight="1">
      <c r="A219" s="5"/>
      <c r="B219" s="229">
        <v>215</v>
      </c>
      <c r="C219" s="14" t="s">
        <v>8</v>
      </c>
      <c r="D219" s="168" t="s">
        <v>7</v>
      </c>
      <c r="E219" s="12" t="s">
        <v>698</v>
      </c>
      <c r="F219" s="13" t="s">
        <v>699</v>
      </c>
      <c r="G219" s="13"/>
      <c r="H219" s="215">
        <v>150000</v>
      </c>
      <c r="I219" s="51">
        <v>3</v>
      </c>
      <c r="J219" s="56">
        <v>0.1</v>
      </c>
      <c r="K219" s="50"/>
      <c r="L219" s="57"/>
      <c r="M219" s="62">
        <v>6</v>
      </c>
      <c r="N219" s="63">
        <v>8</v>
      </c>
      <c r="O219" s="63">
        <v>0</v>
      </c>
      <c r="P219" s="63">
        <v>2</v>
      </c>
      <c r="Q219" s="63">
        <v>0</v>
      </c>
      <c r="R219" s="63">
        <v>7</v>
      </c>
      <c r="S219" s="63">
        <v>0</v>
      </c>
      <c r="T219" s="64">
        <v>10</v>
      </c>
      <c r="U219" s="67" t="e">
        <f t="shared" ca="1" si="109"/>
        <v>#DIV/0!</v>
      </c>
      <c r="V219" s="67">
        <f t="shared" ca="1" si="110"/>
        <v>0.1</v>
      </c>
      <c r="W219" s="69">
        <f t="shared" si="111"/>
        <v>0.94736842105263153</v>
      </c>
      <c r="X219" s="69">
        <f t="shared" si="112"/>
        <v>0.84210526315789469</v>
      </c>
      <c r="Y219" s="69">
        <f t="shared" si="113"/>
        <v>0</v>
      </c>
      <c r="Z219" s="69">
        <f t="shared" si="114"/>
        <v>0.35087719298245612</v>
      </c>
      <c r="AA219" s="69">
        <f t="shared" si="115"/>
        <v>0</v>
      </c>
      <c r="AB219" s="69">
        <f t="shared" si="116"/>
        <v>0.85964912280701755</v>
      </c>
      <c r="AC219" s="69">
        <f t="shared" si="117"/>
        <v>0</v>
      </c>
      <c r="AD219" s="70">
        <f t="shared" si="118"/>
        <v>1.0526315789473684</v>
      </c>
      <c r="AE219" s="71">
        <f t="shared" si="119"/>
        <v>0.7</v>
      </c>
      <c r="AF219" s="71">
        <f t="shared" ca="1" si="120"/>
        <v>0.9</v>
      </c>
      <c r="AG219" s="72">
        <f t="shared" ca="1" si="121"/>
        <v>0.76666666666666661</v>
      </c>
      <c r="AH219" s="177">
        <f t="shared" si="122"/>
        <v>4.0526315789473681</v>
      </c>
      <c r="AI219" s="185">
        <f t="shared" ca="1" si="123"/>
        <v>31.070175438596486</v>
      </c>
      <c r="AJ219" s="179" t="str">
        <f t="shared" ca="1" si="124"/>
        <v>Q2</v>
      </c>
      <c r="AK219" s="90" t="s">
        <v>338</v>
      </c>
      <c r="AL219" s="194"/>
      <c r="AM219" s="103"/>
      <c r="AN219" s="103"/>
      <c r="AO219" s="103"/>
      <c r="AP219" s="108"/>
      <c r="AQ219" s="299"/>
      <c r="AR219" s="295"/>
      <c r="AS219" s="164"/>
      <c r="AT219" s="164"/>
      <c r="AU219" s="320"/>
      <c r="AV219" s="324"/>
      <c r="AW219" s="89"/>
    </row>
    <row r="220" spans="1:49" ht="36" customHeight="1">
      <c r="A220" s="5">
        <v>177</v>
      </c>
      <c r="B220" s="229">
        <v>216</v>
      </c>
      <c r="C220" s="6" t="s">
        <v>12</v>
      </c>
      <c r="D220" s="133" t="s">
        <v>385</v>
      </c>
      <c r="E220" s="12" t="s">
        <v>129</v>
      </c>
      <c r="F220" s="13" t="s">
        <v>130</v>
      </c>
      <c r="G220" s="113" t="s">
        <v>131</v>
      </c>
      <c r="H220" s="215">
        <v>60000</v>
      </c>
      <c r="I220" s="51">
        <v>4</v>
      </c>
      <c r="J220" s="56">
        <v>0.3</v>
      </c>
      <c r="K220" s="50"/>
      <c r="L220" s="57"/>
      <c r="M220" s="62">
        <v>8.0000000000000053</v>
      </c>
      <c r="N220" s="63">
        <v>8.0000000000000053</v>
      </c>
      <c r="O220" s="63">
        <v>4.0000000000000027</v>
      </c>
      <c r="P220" s="63">
        <v>4</v>
      </c>
      <c r="Q220" s="63">
        <v>2</v>
      </c>
      <c r="R220" s="63">
        <v>4.0000000000000027</v>
      </c>
      <c r="S220" s="63">
        <v>0</v>
      </c>
      <c r="T220" s="64">
        <v>8</v>
      </c>
      <c r="U220" s="67" t="e">
        <f t="shared" ca="1" si="109"/>
        <v>#DIV/0!</v>
      </c>
      <c r="V220" s="67">
        <f t="shared" ca="1" si="110"/>
        <v>0.3</v>
      </c>
      <c r="W220" s="69">
        <f t="shared" si="111"/>
        <v>1.2631578947368429</v>
      </c>
      <c r="X220" s="69">
        <f t="shared" si="112"/>
        <v>0.84210526315789525</v>
      </c>
      <c r="Y220" s="69">
        <f t="shared" si="113"/>
        <v>0.56140350877193024</v>
      </c>
      <c r="Z220" s="69">
        <f t="shared" si="114"/>
        <v>0.70175438596491224</v>
      </c>
      <c r="AA220" s="69">
        <f t="shared" si="115"/>
        <v>0.17543859649122806</v>
      </c>
      <c r="AB220" s="69">
        <f t="shared" si="116"/>
        <v>0.4912280701754389</v>
      </c>
      <c r="AC220" s="69">
        <f t="shared" si="117"/>
        <v>0</v>
      </c>
      <c r="AD220" s="70">
        <f t="shared" si="118"/>
        <v>0.84210526315789469</v>
      </c>
      <c r="AE220" s="71">
        <f t="shared" si="119"/>
        <v>0.6</v>
      </c>
      <c r="AF220" s="71">
        <f t="shared" ca="1" si="120"/>
        <v>0.7</v>
      </c>
      <c r="AG220" s="72">
        <f t="shared" ca="1" si="121"/>
        <v>0.6333333333333333</v>
      </c>
      <c r="AH220" s="177">
        <f t="shared" si="122"/>
        <v>4.8771929824561422</v>
      </c>
      <c r="AI220" s="185">
        <f t="shared" ca="1" si="123"/>
        <v>30.8888888888889</v>
      </c>
      <c r="AJ220" s="179" t="str">
        <f t="shared" ca="1" si="124"/>
        <v>Q4</v>
      </c>
      <c r="AK220" s="90" t="s">
        <v>329</v>
      </c>
      <c r="AL220" s="194"/>
      <c r="AM220" s="103"/>
      <c r="AN220" s="103"/>
      <c r="AO220" s="103"/>
      <c r="AP220" s="108"/>
      <c r="AQ220" s="299"/>
      <c r="AR220" s="295"/>
      <c r="AS220" s="164"/>
      <c r="AT220" s="164"/>
      <c r="AU220" s="320"/>
      <c r="AV220" s="324"/>
      <c r="AW220" s="89"/>
    </row>
    <row r="221" spans="1:49" ht="36" customHeight="1">
      <c r="A221" s="5">
        <v>236</v>
      </c>
      <c r="B221" s="229">
        <v>217</v>
      </c>
      <c r="C221" s="14" t="s">
        <v>18</v>
      </c>
      <c r="D221" s="168" t="s">
        <v>7</v>
      </c>
      <c r="E221" s="7" t="s">
        <v>187</v>
      </c>
      <c r="F221" s="9" t="s">
        <v>551</v>
      </c>
      <c r="G221" s="8" t="s">
        <v>550</v>
      </c>
      <c r="H221" s="213">
        <v>206000</v>
      </c>
      <c r="I221" s="51">
        <v>3</v>
      </c>
      <c r="J221" s="56">
        <v>0.1</v>
      </c>
      <c r="K221" s="50"/>
      <c r="L221" s="57"/>
      <c r="M221" s="62">
        <v>5</v>
      </c>
      <c r="N221" s="63">
        <v>5</v>
      </c>
      <c r="O221" s="63">
        <v>4.0000000000000027</v>
      </c>
      <c r="P221" s="63">
        <v>4</v>
      </c>
      <c r="Q221" s="63">
        <v>2</v>
      </c>
      <c r="R221" s="63">
        <v>5</v>
      </c>
      <c r="S221" s="63">
        <v>0</v>
      </c>
      <c r="T221" s="64">
        <v>6</v>
      </c>
      <c r="U221" s="67" t="e">
        <f t="shared" ca="1" si="109"/>
        <v>#DIV/0!</v>
      </c>
      <c r="V221" s="67">
        <f t="shared" ca="1" si="110"/>
        <v>0.1</v>
      </c>
      <c r="W221" s="69">
        <f t="shared" si="111"/>
        <v>0.78947368421052633</v>
      </c>
      <c r="X221" s="69">
        <f t="shared" si="112"/>
        <v>0.52631578947368418</v>
      </c>
      <c r="Y221" s="69">
        <f t="shared" si="113"/>
        <v>0.56140350877193024</v>
      </c>
      <c r="Z221" s="69">
        <f t="shared" si="114"/>
        <v>0.70175438596491224</v>
      </c>
      <c r="AA221" s="69">
        <f t="shared" si="115"/>
        <v>0.17543859649122806</v>
      </c>
      <c r="AB221" s="69">
        <f t="shared" si="116"/>
        <v>0.61403508771929827</v>
      </c>
      <c r="AC221" s="69">
        <f t="shared" si="117"/>
        <v>0</v>
      </c>
      <c r="AD221" s="70">
        <f t="shared" si="118"/>
        <v>0.63157894736842102</v>
      </c>
      <c r="AE221" s="71">
        <f t="shared" si="119"/>
        <v>0.7</v>
      </c>
      <c r="AF221" s="71">
        <f t="shared" ca="1" si="120"/>
        <v>0.9</v>
      </c>
      <c r="AG221" s="72">
        <f t="shared" ca="1" si="121"/>
        <v>0.76666666666666661</v>
      </c>
      <c r="AH221" s="177">
        <f t="shared" si="122"/>
        <v>4.0000000000000009</v>
      </c>
      <c r="AI221" s="185">
        <f t="shared" ca="1" si="123"/>
        <v>30.666666666666671</v>
      </c>
      <c r="AJ221" s="179" t="str">
        <f t="shared" ca="1" si="124"/>
        <v>Q2</v>
      </c>
      <c r="AK221" s="90" t="s">
        <v>329</v>
      </c>
      <c r="AL221" s="194"/>
      <c r="AM221" s="103"/>
      <c r="AN221" s="103"/>
      <c r="AO221" s="103"/>
      <c r="AP221" s="108"/>
      <c r="AQ221" s="299"/>
      <c r="AR221" s="295"/>
      <c r="AS221" s="164"/>
      <c r="AT221" s="164"/>
      <c r="AU221" s="320"/>
      <c r="AV221" s="324"/>
      <c r="AW221" s="89"/>
    </row>
    <row r="222" spans="1:49" ht="36" customHeight="1">
      <c r="A222" s="5">
        <v>286</v>
      </c>
      <c r="B222" s="229">
        <v>218</v>
      </c>
      <c r="C222" s="14" t="s">
        <v>8</v>
      </c>
      <c r="D222" s="133" t="s">
        <v>7</v>
      </c>
      <c r="E222" s="7" t="s">
        <v>556</v>
      </c>
      <c r="F222" s="8" t="s">
        <v>647</v>
      </c>
      <c r="G222" s="8"/>
      <c r="H222" s="213">
        <v>168000</v>
      </c>
      <c r="I222" s="51">
        <v>3</v>
      </c>
      <c r="J222" s="56">
        <v>0.3</v>
      </c>
      <c r="K222" s="50"/>
      <c r="L222" s="57"/>
      <c r="M222" s="62">
        <v>6.0000000000000036</v>
      </c>
      <c r="N222" s="63">
        <v>6.0000000000000036</v>
      </c>
      <c r="O222" s="63">
        <v>1</v>
      </c>
      <c r="P222" s="63">
        <v>4.0000000000000027</v>
      </c>
      <c r="Q222" s="63">
        <v>4.0000000000000027</v>
      </c>
      <c r="R222" s="63">
        <v>6.0000000000000036</v>
      </c>
      <c r="S222" s="63">
        <v>2</v>
      </c>
      <c r="T222" s="64">
        <v>6.0000000000000036</v>
      </c>
      <c r="U222" s="67" t="e">
        <f t="shared" ca="1" si="109"/>
        <v>#DIV/0!</v>
      </c>
      <c r="V222" s="67">
        <f t="shared" ca="1" si="110"/>
        <v>0.3</v>
      </c>
      <c r="W222" s="69">
        <f t="shared" si="111"/>
        <v>0.94736842105263208</v>
      </c>
      <c r="X222" s="69">
        <f t="shared" si="112"/>
        <v>0.63157894736842146</v>
      </c>
      <c r="Y222" s="69">
        <f t="shared" si="113"/>
        <v>0.14035087719298245</v>
      </c>
      <c r="Z222" s="69">
        <f t="shared" si="114"/>
        <v>0.7017543859649128</v>
      </c>
      <c r="AA222" s="69">
        <f t="shared" si="115"/>
        <v>0.3508771929824564</v>
      </c>
      <c r="AB222" s="69">
        <f t="shared" si="116"/>
        <v>0.73684210526315841</v>
      </c>
      <c r="AC222" s="69">
        <f t="shared" si="117"/>
        <v>0.21052631578947367</v>
      </c>
      <c r="AD222" s="70">
        <f t="shared" si="118"/>
        <v>0.63157894736842146</v>
      </c>
      <c r="AE222" s="71">
        <f t="shared" si="119"/>
        <v>0.7</v>
      </c>
      <c r="AF222" s="71">
        <f t="shared" ca="1" si="120"/>
        <v>0.7</v>
      </c>
      <c r="AG222" s="72">
        <f t="shared" ca="1" si="121"/>
        <v>0.69999999999999984</v>
      </c>
      <c r="AH222" s="177">
        <f t="shared" si="122"/>
        <v>4.3508771929824581</v>
      </c>
      <c r="AI222" s="185">
        <f t="shared" ca="1" si="123"/>
        <v>30.456140350877199</v>
      </c>
      <c r="AJ222" s="179" t="str">
        <f t="shared" ca="1" si="124"/>
        <v>Q4</v>
      </c>
      <c r="AK222" s="90" t="s">
        <v>329</v>
      </c>
      <c r="AL222" s="194"/>
      <c r="AM222" s="103"/>
      <c r="AN222" s="103"/>
      <c r="AO222" s="103"/>
      <c r="AP222" s="108"/>
      <c r="AQ222" s="299"/>
      <c r="AR222" s="295"/>
      <c r="AS222" s="164"/>
      <c r="AT222" s="164"/>
      <c r="AU222" s="320"/>
      <c r="AV222" s="324"/>
      <c r="AW222" s="89"/>
    </row>
    <row r="223" spans="1:49" ht="36" customHeight="1">
      <c r="A223" s="5">
        <v>230</v>
      </c>
      <c r="B223" s="229">
        <v>219</v>
      </c>
      <c r="C223" s="6" t="s">
        <v>18</v>
      </c>
      <c r="D223" s="133" t="s">
        <v>7</v>
      </c>
      <c r="E223" s="18" t="s">
        <v>179</v>
      </c>
      <c r="F223" s="19" t="s">
        <v>605</v>
      </c>
      <c r="G223" s="20" t="s">
        <v>180</v>
      </c>
      <c r="H223" s="215">
        <v>123000</v>
      </c>
      <c r="I223" s="51">
        <v>3</v>
      </c>
      <c r="J223" s="56">
        <v>0.1</v>
      </c>
      <c r="K223" s="50"/>
      <c r="L223" s="57"/>
      <c r="M223" s="62">
        <v>4.0000000000000027</v>
      </c>
      <c r="N223" s="63">
        <v>6.0000000000000036</v>
      </c>
      <c r="O223" s="63">
        <v>4</v>
      </c>
      <c r="P223" s="63">
        <v>4.0000000000000027</v>
      </c>
      <c r="Q223" s="63">
        <v>3</v>
      </c>
      <c r="R223" s="63">
        <v>6.0000000000000036</v>
      </c>
      <c r="S223" s="63">
        <v>0</v>
      </c>
      <c r="T223" s="64">
        <v>4.0000000000000027</v>
      </c>
      <c r="U223" s="67" t="e">
        <f t="shared" ca="1" si="109"/>
        <v>#DIV/0!</v>
      </c>
      <c r="V223" s="67">
        <f t="shared" ca="1" si="110"/>
        <v>0.1</v>
      </c>
      <c r="W223" s="69">
        <f t="shared" si="111"/>
        <v>0.63157894736842146</v>
      </c>
      <c r="X223" s="69">
        <f t="shared" si="112"/>
        <v>0.63157894736842146</v>
      </c>
      <c r="Y223" s="69">
        <f t="shared" si="113"/>
        <v>0.56140350877192979</v>
      </c>
      <c r="Z223" s="69">
        <f t="shared" si="114"/>
        <v>0.7017543859649128</v>
      </c>
      <c r="AA223" s="69">
        <f t="shared" si="115"/>
        <v>0.26315789473684209</v>
      </c>
      <c r="AB223" s="69">
        <f t="shared" si="116"/>
        <v>0.73684210526315841</v>
      </c>
      <c r="AC223" s="69">
        <f t="shared" si="117"/>
        <v>0</v>
      </c>
      <c r="AD223" s="70">
        <f t="shared" si="118"/>
        <v>0.42105263157894762</v>
      </c>
      <c r="AE223" s="71">
        <f t="shared" si="119"/>
        <v>0.7</v>
      </c>
      <c r="AF223" s="71">
        <f t="shared" ca="1" si="120"/>
        <v>0.9</v>
      </c>
      <c r="AG223" s="72">
        <f t="shared" ca="1" si="121"/>
        <v>0.76666666666666661</v>
      </c>
      <c r="AH223" s="177">
        <f t="shared" si="122"/>
        <v>3.9473684210526336</v>
      </c>
      <c r="AI223" s="185">
        <f t="shared" ca="1" si="123"/>
        <v>30.263157894736853</v>
      </c>
      <c r="AJ223" s="179" t="str">
        <f t="shared" ca="1" si="124"/>
        <v>Q2</v>
      </c>
      <c r="AK223" s="90" t="s">
        <v>329</v>
      </c>
      <c r="AL223" s="101"/>
      <c r="AM223" s="269"/>
      <c r="AN223" s="103"/>
      <c r="AO223" s="103"/>
      <c r="AP223" s="108"/>
      <c r="AQ223" s="299"/>
      <c r="AR223" s="165"/>
      <c r="AS223" s="164"/>
      <c r="AT223" s="164"/>
      <c r="AU223" s="320"/>
      <c r="AV223" s="324"/>
      <c r="AW223" s="89"/>
    </row>
    <row r="224" spans="1:49" ht="36" customHeight="1">
      <c r="A224" s="5"/>
      <c r="B224" s="229">
        <v>220</v>
      </c>
      <c r="C224" s="6" t="s">
        <v>14</v>
      </c>
      <c r="D224" s="133" t="s">
        <v>15</v>
      </c>
      <c r="E224" s="15" t="s">
        <v>408</v>
      </c>
      <c r="F224" s="25" t="s">
        <v>614</v>
      </c>
      <c r="G224" s="116"/>
      <c r="H224" s="218">
        <v>209600</v>
      </c>
      <c r="I224" s="51">
        <v>4</v>
      </c>
      <c r="J224" s="56">
        <v>0.4</v>
      </c>
      <c r="K224" s="50"/>
      <c r="L224" s="57"/>
      <c r="M224" s="62">
        <v>7</v>
      </c>
      <c r="N224" s="63">
        <v>6</v>
      </c>
      <c r="O224" s="63">
        <v>4.0000000000000027</v>
      </c>
      <c r="P224" s="63">
        <v>6.0000000000000036</v>
      </c>
      <c r="Q224" s="63">
        <v>4.0000000000000027</v>
      </c>
      <c r="R224" s="63">
        <v>4.0000000000000027</v>
      </c>
      <c r="S224" s="63">
        <v>0</v>
      </c>
      <c r="T224" s="64">
        <v>8</v>
      </c>
      <c r="U224" s="67" t="e">
        <f t="shared" ca="1" si="109"/>
        <v>#DIV/0!</v>
      </c>
      <c r="V224" s="67">
        <f t="shared" ca="1" si="110"/>
        <v>0.4</v>
      </c>
      <c r="W224" s="69">
        <f t="shared" si="111"/>
        <v>1.1052631578947369</v>
      </c>
      <c r="X224" s="69">
        <f t="shared" si="112"/>
        <v>0.63157894736842102</v>
      </c>
      <c r="Y224" s="69">
        <f t="shared" si="113"/>
        <v>0.56140350877193024</v>
      </c>
      <c r="Z224" s="69">
        <f t="shared" si="114"/>
        <v>1.052631578947369</v>
      </c>
      <c r="AA224" s="69">
        <f t="shared" si="115"/>
        <v>0.3508771929824564</v>
      </c>
      <c r="AB224" s="69">
        <f t="shared" si="116"/>
        <v>0.4912280701754389</v>
      </c>
      <c r="AC224" s="69">
        <f t="shared" si="117"/>
        <v>0</v>
      </c>
      <c r="AD224" s="70">
        <f t="shared" si="118"/>
        <v>0.84210526315789469</v>
      </c>
      <c r="AE224" s="71">
        <f t="shared" si="119"/>
        <v>0.6</v>
      </c>
      <c r="AF224" s="71">
        <f t="shared" ca="1" si="120"/>
        <v>0.6</v>
      </c>
      <c r="AG224" s="72">
        <f t="shared" ca="1" si="121"/>
        <v>0.6</v>
      </c>
      <c r="AH224" s="177">
        <f t="shared" si="122"/>
        <v>5.0350877192982475</v>
      </c>
      <c r="AI224" s="185">
        <f t="shared" ca="1" si="123"/>
        <v>30.210526315789483</v>
      </c>
      <c r="AJ224" s="179" t="str">
        <f t="shared" ca="1" si="124"/>
        <v>Q4</v>
      </c>
      <c r="AK224" s="90" t="s">
        <v>342</v>
      </c>
      <c r="AL224" s="194"/>
      <c r="AM224" s="103"/>
      <c r="AN224" s="103"/>
      <c r="AO224" s="103"/>
      <c r="AP224" s="108"/>
      <c r="AQ224" s="299"/>
      <c r="AR224" s="295"/>
      <c r="AS224" s="164"/>
      <c r="AT224" s="164"/>
      <c r="AU224" s="320"/>
      <c r="AV224" s="324"/>
      <c r="AW224" s="89"/>
    </row>
    <row r="225" spans="1:49" ht="36" customHeight="1">
      <c r="A225" s="5">
        <v>319</v>
      </c>
      <c r="B225" s="229">
        <v>221</v>
      </c>
      <c r="C225" s="6" t="s">
        <v>6</v>
      </c>
      <c r="D225" s="133" t="s">
        <v>7</v>
      </c>
      <c r="E225" s="7" t="s">
        <v>277</v>
      </c>
      <c r="F225" s="9" t="s">
        <v>477</v>
      </c>
      <c r="G225" s="8"/>
      <c r="H225" s="213">
        <v>825000</v>
      </c>
      <c r="I225" s="50">
        <v>5</v>
      </c>
      <c r="J225" s="56">
        <v>0.5</v>
      </c>
      <c r="K225" s="50"/>
      <c r="L225" s="57"/>
      <c r="M225" s="62">
        <v>6.0000000000000036</v>
      </c>
      <c r="N225" s="63">
        <v>8.0000000000000053</v>
      </c>
      <c r="O225" s="63">
        <v>6.0000000000000036</v>
      </c>
      <c r="P225" s="63">
        <v>6.0000000000000036</v>
      </c>
      <c r="Q225" s="63">
        <v>4.0000000000000027</v>
      </c>
      <c r="R225" s="63">
        <v>6.0000000000000036</v>
      </c>
      <c r="S225" s="63">
        <v>6</v>
      </c>
      <c r="T225" s="64">
        <v>6.0000000000000036</v>
      </c>
      <c r="U225" s="67" t="e">
        <f t="shared" ca="1" si="109"/>
        <v>#DIV/0!</v>
      </c>
      <c r="V225" s="67">
        <f t="shared" ca="1" si="110"/>
        <v>0.5</v>
      </c>
      <c r="W225" s="69">
        <f t="shared" si="111"/>
        <v>0.94736842105263208</v>
      </c>
      <c r="X225" s="69">
        <f t="shared" si="112"/>
        <v>0.84210526315789525</v>
      </c>
      <c r="Y225" s="69">
        <f t="shared" si="113"/>
        <v>0.84210526315789525</v>
      </c>
      <c r="Z225" s="69">
        <f t="shared" si="114"/>
        <v>1.052631578947369</v>
      </c>
      <c r="AA225" s="69">
        <f t="shared" si="115"/>
        <v>0.3508771929824564</v>
      </c>
      <c r="AB225" s="69">
        <f t="shared" si="116"/>
        <v>0.73684210526315841</v>
      </c>
      <c r="AC225" s="69">
        <f t="shared" si="117"/>
        <v>0.63157894736842102</v>
      </c>
      <c r="AD225" s="70">
        <f t="shared" si="118"/>
        <v>0.63157894736842146</v>
      </c>
      <c r="AE225" s="71">
        <f t="shared" si="119"/>
        <v>0.5</v>
      </c>
      <c r="AF225" s="71">
        <f t="shared" ca="1" si="120"/>
        <v>0.5</v>
      </c>
      <c r="AG225" s="72">
        <f t="shared" ca="1" si="121"/>
        <v>0.5</v>
      </c>
      <c r="AH225" s="177">
        <f t="shared" si="122"/>
        <v>6.0350877192982493</v>
      </c>
      <c r="AI225" s="185">
        <f t="shared" ca="1" si="123"/>
        <v>30.175438596491247</v>
      </c>
      <c r="AJ225" s="179" t="str">
        <f t="shared" ca="1" si="124"/>
        <v>Q3</v>
      </c>
      <c r="AK225" s="88" t="s">
        <v>329</v>
      </c>
      <c r="AL225" s="100"/>
      <c r="AM225" s="269"/>
      <c r="AN225" s="103"/>
      <c r="AO225" s="103"/>
      <c r="AP225" s="108"/>
      <c r="AQ225" s="299"/>
      <c r="AR225" s="165"/>
      <c r="AS225" s="164"/>
      <c r="AT225" s="164"/>
      <c r="AU225" s="320"/>
      <c r="AV225" s="324"/>
      <c r="AW225" s="89"/>
    </row>
    <row r="226" spans="1:49" ht="36" customHeight="1">
      <c r="A226" s="5">
        <v>364</v>
      </c>
      <c r="B226" s="229">
        <v>222</v>
      </c>
      <c r="C226" s="6" t="s">
        <v>6</v>
      </c>
      <c r="D226" s="133" t="s">
        <v>7</v>
      </c>
      <c r="E226" s="7" t="s">
        <v>311</v>
      </c>
      <c r="F226" s="9" t="s">
        <v>553</v>
      </c>
      <c r="G226" s="8"/>
      <c r="H226" s="213">
        <v>200000</v>
      </c>
      <c r="I226" s="50">
        <v>4</v>
      </c>
      <c r="J226" s="56">
        <v>0.5</v>
      </c>
      <c r="K226" s="50"/>
      <c r="L226" s="57"/>
      <c r="M226" s="62">
        <v>6.0000000000000036</v>
      </c>
      <c r="N226" s="63">
        <v>8.0000000000000053</v>
      </c>
      <c r="O226" s="63">
        <v>4.0000000000000027</v>
      </c>
      <c r="P226" s="63">
        <v>6.0000000000000036</v>
      </c>
      <c r="Q226" s="63">
        <v>1</v>
      </c>
      <c r="R226" s="63">
        <v>8</v>
      </c>
      <c r="S226" s="63">
        <v>0</v>
      </c>
      <c r="T226" s="64">
        <v>8</v>
      </c>
      <c r="U226" s="67" t="e">
        <f t="shared" ca="1" si="109"/>
        <v>#DIV/0!</v>
      </c>
      <c r="V226" s="67">
        <f t="shared" ca="1" si="110"/>
        <v>0.5</v>
      </c>
      <c r="W226" s="69">
        <f t="shared" si="111"/>
        <v>0.94736842105263208</v>
      </c>
      <c r="X226" s="69">
        <f t="shared" si="112"/>
        <v>0.84210526315789525</v>
      </c>
      <c r="Y226" s="69">
        <f t="shared" si="113"/>
        <v>0.56140350877193024</v>
      </c>
      <c r="Z226" s="69">
        <f t="shared" si="114"/>
        <v>1.052631578947369</v>
      </c>
      <c r="AA226" s="69">
        <f t="shared" si="115"/>
        <v>8.771929824561403E-2</v>
      </c>
      <c r="AB226" s="69">
        <f t="shared" si="116"/>
        <v>0.98245614035087714</v>
      </c>
      <c r="AC226" s="69">
        <f t="shared" si="117"/>
        <v>0</v>
      </c>
      <c r="AD226" s="70">
        <f t="shared" si="118"/>
        <v>0.84210526315789469</v>
      </c>
      <c r="AE226" s="71">
        <f t="shared" si="119"/>
        <v>0.6</v>
      </c>
      <c r="AF226" s="71">
        <f t="shared" ca="1" si="120"/>
        <v>0.5</v>
      </c>
      <c r="AG226" s="72">
        <f t="shared" ca="1" si="121"/>
        <v>0.56666666666666665</v>
      </c>
      <c r="AH226" s="177">
        <f t="shared" si="122"/>
        <v>5.3157894736842124</v>
      </c>
      <c r="AI226" s="185">
        <f t="shared" ca="1" si="123"/>
        <v>30.12280701754387</v>
      </c>
      <c r="AJ226" s="179" t="str">
        <f t="shared" ca="1" si="124"/>
        <v>Q4</v>
      </c>
      <c r="AK226" s="88" t="s">
        <v>329</v>
      </c>
      <c r="AL226" s="192"/>
      <c r="AM226" s="103"/>
      <c r="AN226" s="103"/>
      <c r="AO226" s="103"/>
      <c r="AP226" s="108"/>
      <c r="AQ226" s="299"/>
      <c r="AR226" s="295"/>
      <c r="AS226" s="164"/>
      <c r="AT226" s="164"/>
      <c r="AU226" s="320"/>
      <c r="AV226" s="324"/>
      <c r="AW226" s="89"/>
    </row>
    <row r="227" spans="1:49" ht="36" customHeight="1">
      <c r="A227" s="5">
        <v>325</v>
      </c>
      <c r="B227" s="229">
        <v>223</v>
      </c>
      <c r="C227" s="6" t="s">
        <v>6</v>
      </c>
      <c r="D227" s="133" t="s">
        <v>7</v>
      </c>
      <c r="E227" s="7" t="s">
        <v>284</v>
      </c>
      <c r="F227" s="9" t="s">
        <v>567</v>
      </c>
      <c r="G227" s="8"/>
      <c r="H227" s="213">
        <v>365000</v>
      </c>
      <c r="I227" s="51">
        <v>4</v>
      </c>
      <c r="J227" s="56">
        <v>0.5</v>
      </c>
      <c r="K227" s="50"/>
      <c r="L227" s="57"/>
      <c r="M227" s="62">
        <v>6.0000000000000036</v>
      </c>
      <c r="N227" s="63">
        <v>8.0000000000000053</v>
      </c>
      <c r="O227" s="63">
        <v>4.0000000000000027</v>
      </c>
      <c r="P227" s="63">
        <v>6.0000000000000036</v>
      </c>
      <c r="Q227" s="63">
        <v>1</v>
      </c>
      <c r="R227" s="63">
        <v>8</v>
      </c>
      <c r="S227" s="63">
        <v>0</v>
      </c>
      <c r="T227" s="64">
        <v>8</v>
      </c>
      <c r="U227" s="67" t="e">
        <f t="shared" ca="1" si="109"/>
        <v>#DIV/0!</v>
      </c>
      <c r="V227" s="67">
        <f t="shared" ca="1" si="110"/>
        <v>0.5</v>
      </c>
      <c r="W227" s="69">
        <f t="shared" si="111"/>
        <v>0.94736842105263208</v>
      </c>
      <c r="X227" s="69">
        <f t="shared" si="112"/>
        <v>0.84210526315789525</v>
      </c>
      <c r="Y227" s="69">
        <f t="shared" si="113"/>
        <v>0.56140350877193024</v>
      </c>
      <c r="Z227" s="69">
        <f t="shared" si="114"/>
        <v>1.052631578947369</v>
      </c>
      <c r="AA227" s="69">
        <f t="shared" si="115"/>
        <v>8.771929824561403E-2</v>
      </c>
      <c r="AB227" s="69">
        <f t="shared" si="116"/>
        <v>0.98245614035087714</v>
      </c>
      <c r="AC227" s="69">
        <f t="shared" si="117"/>
        <v>0</v>
      </c>
      <c r="AD227" s="70">
        <f t="shared" si="118"/>
        <v>0.84210526315789469</v>
      </c>
      <c r="AE227" s="71">
        <f t="shared" si="119"/>
        <v>0.6</v>
      </c>
      <c r="AF227" s="71">
        <f t="shared" ca="1" si="120"/>
        <v>0.5</v>
      </c>
      <c r="AG227" s="72">
        <f t="shared" ca="1" si="121"/>
        <v>0.56666666666666665</v>
      </c>
      <c r="AH227" s="177">
        <f t="shared" si="122"/>
        <v>5.3157894736842124</v>
      </c>
      <c r="AI227" s="185">
        <f t="shared" ca="1" si="123"/>
        <v>30.12280701754387</v>
      </c>
      <c r="AJ227" s="179" t="str">
        <f t="shared" ca="1" si="124"/>
        <v>Q4</v>
      </c>
      <c r="AK227" s="90" t="s">
        <v>329</v>
      </c>
      <c r="AL227" s="194"/>
      <c r="AM227" s="103"/>
      <c r="AN227" s="103"/>
      <c r="AO227" s="103"/>
      <c r="AP227" s="108"/>
      <c r="AQ227" s="299"/>
      <c r="AR227" s="295"/>
      <c r="AS227" s="164"/>
      <c r="AT227" s="164"/>
      <c r="AU227" s="320"/>
      <c r="AV227" s="324"/>
      <c r="AW227" s="89"/>
    </row>
    <row r="228" spans="1:49" ht="36" customHeight="1">
      <c r="A228" s="5">
        <v>333</v>
      </c>
      <c r="B228" s="229">
        <v>224</v>
      </c>
      <c r="C228" s="6" t="s">
        <v>6</v>
      </c>
      <c r="D228" s="133" t="s">
        <v>7</v>
      </c>
      <c r="E228" s="7" t="s">
        <v>292</v>
      </c>
      <c r="F228" s="9" t="s">
        <v>478</v>
      </c>
      <c r="G228" s="8"/>
      <c r="H228" s="213">
        <v>185000</v>
      </c>
      <c r="I228" s="51">
        <v>4</v>
      </c>
      <c r="J228" s="56">
        <v>0.5</v>
      </c>
      <c r="K228" s="50"/>
      <c r="L228" s="57"/>
      <c r="M228" s="62">
        <v>6.0000000000000036</v>
      </c>
      <c r="N228" s="63">
        <v>8.0000000000000053</v>
      </c>
      <c r="O228" s="63">
        <v>4.0000000000000027</v>
      </c>
      <c r="P228" s="63">
        <v>6.0000000000000036</v>
      </c>
      <c r="Q228" s="63">
        <v>1</v>
      </c>
      <c r="R228" s="63">
        <v>8</v>
      </c>
      <c r="S228" s="63">
        <v>0</v>
      </c>
      <c r="T228" s="64">
        <v>8</v>
      </c>
      <c r="U228" s="67" t="e">
        <f t="shared" ca="1" si="109"/>
        <v>#DIV/0!</v>
      </c>
      <c r="V228" s="67">
        <f t="shared" ca="1" si="110"/>
        <v>0.5</v>
      </c>
      <c r="W228" s="69">
        <f t="shared" si="111"/>
        <v>0.94736842105263208</v>
      </c>
      <c r="X228" s="69">
        <f t="shared" si="112"/>
        <v>0.84210526315789525</v>
      </c>
      <c r="Y228" s="69">
        <f t="shared" si="113"/>
        <v>0.56140350877193024</v>
      </c>
      <c r="Z228" s="69">
        <f t="shared" si="114"/>
        <v>1.052631578947369</v>
      </c>
      <c r="AA228" s="69">
        <f t="shared" si="115"/>
        <v>8.771929824561403E-2</v>
      </c>
      <c r="AB228" s="69">
        <f t="shared" si="116"/>
        <v>0.98245614035087714</v>
      </c>
      <c r="AC228" s="69">
        <f t="shared" si="117"/>
        <v>0</v>
      </c>
      <c r="AD228" s="70">
        <f t="shared" si="118"/>
        <v>0.84210526315789469</v>
      </c>
      <c r="AE228" s="71">
        <f t="shared" si="119"/>
        <v>0.6</v>
      </c>
      <c r="AF228" s="71">
        <f t="shared" ca="1" si="120"/>
        <v>0.5</v>
      </c>
      <c r="AG228" s="72">
        <f t="shared" ca="1" si="121"/>
        <v>0.56666666666666665</v>
      </c>
      <c r="AH228" s="177">
        <f t="shared" si="122"/>
        <v>5.3157894736842124</v>
      </c>
      <c r="AI228" s="185">
        <f t="shared" ca="1" si="123"/>
        <v>30.12280701754387</v>
      </c>
      <c r="AJ228" s="179" t="str">
        <f t="shared" ca="1" si="124"/>
        <v>Q4</v>
      </c>
      <c r="AK228" s="90" t="s">
        <v>329</v>
      </c>
      <c r="AL228" s="194"/>
      <c r="AM228" s="103"/>
      <c r="AN228" s="103"/>
      <c r="AO228" s="103"/>
      <c r="AP228" s="108"/>
      <c r="AQ228" s="299"/>
      <c r="AR228" s="295"/>
      <c r="AS228" s="164"/>
      <c r="AT228" s="164"/>
      <c r="AU228" s="320"/>
      <c r="AV228" s="324"/>
      <c r="AW228" s="89"/>
    </row>
    <row r="229" spans="1:49" ht="36" customHeight="1">
      <c r="A229" s="5">
        <v>341</v>
      </c>
      <c r="B229" s="229">
        <v>225</v>
      </c>
      <c r="C229" s="6" t="s">
        <v>6</v>
      </c>
      <c r="D229" s="133" t="s">
        <v>7</v>
      </c>
      <c r="E229" s="7" t="s">
        <v>538</v>
      </c>
      <c r="F229" s="9" t="s">
        <v>479</v>
      </c>
      <c r="G229" s="8"/>
      <c r="H229" s="213">
        <v>300000</v>
      </c>
      <c r="I229" s="51">
        <v>4</v>
      </c>
      <c r="J229" s="56">
        <v>0.5</v>
      </c>
      <c r="K229" s="50"/>
      <c r="L229" s="57"/>
      <c r="M229" s="62">
        <v>6.0000000000000036</v>
      </c>
      <c r="N229" s="63">
        <v>8.0000000000000053</v>
      </c>
      <c r="O229" s="63">
        <v>4.0000000000000027</v>
      </c>
      <c r="P229" s="63">
        <v>6.0000000000000036</v>
      </c>
      <c r="Q229" s="63">
        <v>1</v>
      </c>
      <c r="R229" s="63">
        <v>8</v>
      </c>
      <c r="S229" s="63">
        <v>0</v>
      </c>
      <c r="T229" s="64">
        <v>8</v>
      </c>
      <c r="U229" s="67" t="e">
        <f t="shared" ca="1" si="109"/>
        <v>#DIV/0!</v>
      </c>
      <c r="V229" s="67">
        <f t="shared" ca="1" si="110"/>
        <v>0.5</v>
      </c>
      <c r="W229" s="69">
        <f t="shared" si="111"/>
        <v>0.94736842105263208</v>
      </c>
      <c r="X229" s="69">
        <f t="shared" si="112"/>
        <v>0.84210526315789525</v>
      </c>
      <c r="Y229" s="69">
        <f t="shared" si="113"/>
        <v>0.56140350877193024</v>
      </c>
      <c r="Z229" s="69">
        <f t="shared" si="114"/>
        <v>1.052631578947369</v>
      </c>
      <c r="AA229" s="69">
        <f t="shared" si="115"/>
        <v>8.771929824561403E-2</v>
      </c>
      <c r="AB229" s="69">
        <f t="shared" si="116"/>
        <v>0.98245614035087714</v>
      </c>
      <c r="AC229" s="69">
        <f t="shared" si="117"/>
        <v>0</v>
      </c>
      <c r="AD229" s="70">
        <f t="shared" si="118"/>
        <v>0.84210526315789469</v>
      </c>
      <c r="AE229" s="71">
        <f t="shared" si="119"/>
        <v>0.6</v>
      </c>
      <c r="AF229" s="71">
        <f t="shared" ca="1" si="120"/>
        <v>0.5</v>
      </c>
      <c r="AG229" s="72">
        <f t="shared" ca="1" si="121"/>
        <v>0.56666666666666665</v>
      </c>
      <c r="AH229" s="177">
        <f t="shared" si="122"/>
        <v>5.3157894736842124</v>
      </c>
      <c r="AI229" s="185">
        <f t="shared" ca="1" si="123"/>
        <v>30.12280701754387</v>
      </c>
      <c r="AJ229" s="179" t="str">
        <f t="shared" ca="1" si="124"/>
        <v>Q4</v>
      </c>
      <c r="AK229" s="90" t="s">
        <v>329</v>
      </c>
      <c r="AL229" s="194"/>
      <c r="AM229" s="103"/>
      <c r="AN229" s="103"/>
      <c r="AO229" s="103"/>
      <c r="AP229" s="108"/>
      <c r="AQ229" s="299"/>
      <c r="AR229" s="295"/>
      <c r="AS229" s="164"/>
      <c r="AT229" s="164"/>
      <c r="AU229" s="320"/>
      <c r="AV229" s="324"/>
      <c r="AW229" s="89"/>
    </row>
    <row r="230" spans="1:49" ht="36" customHeight="1">
      <c r="A230" s="5">
        <v>370</v>
      </c>
      <c r="B230" s="229">
        <v>226</v>
      </c>
      <c r="C230" s="6" t="s">
        <v>6</v>
      </c>
      <c r="D230" s="133" t="s">
        <v>7</v>
      </c>
      <c r="E230" s="7" t="s">
        <v>315</v>
      </c>
      <c r="F230" s="9" t="s">
        <v>576</v>
      </c>
      <c r="G230" s="8"/>
      <c r="H230" s="213">
        <v>940000</v>
      </c>
      <c r="I230" s="51">
        <v>4</v>
      </c>
      <c r="J230" s="56">
        <v>0.5</v>
      </c>
      <c r="K230" s="50"/>
      <c r="L230" s="57"/>
      <c r="M230" s="62">
        <v>6.0000000000000036</v>
      </c>
      <c r="N230" s="63">
        <v>8</v>
      </c>
      <c r="O230" s="63">
        <v>4.0000000000000027</v>
      </c>
      <c r="P230" s="63">
        <v>6.0000000000000036</v>
      </c>
      <c r="Q230" s="63">
        <v>1</v>
      </c>
      <c r="R230" s="63">
        <v>8</v>
      </c>
      <c r="S230" s="63">
        <v>0</v>
      </c>
      <c r="T230" s="64">
        <v>8</v>
      </c>
      <c r="U230" s="67" t="e">
        <f t="shared" ca="1" si="109"/>
        <v>#DIV/0!</v>
      </c>
      <c r="V230" s="67">
        <f t="shared" ca="1" si="110"/>
        <v>0.5</v>
      </c>
      <c r="W230" s="69">
        <f t="shared" si="111"/>
        <v>0.94736842105263208</v>
      </c>
      <c r="X230" s="69">
        <f t="shared" si="112"/>
        <v>0.84210526315789469</v>
      </c>
      <c r="Y230" s="69">
        <f t="shared" si="113"/>
        <v>0.56140350877193024</v>
      </c>
      <c r="Z230" s="69">
        <f t="shared" si="114"/>
        <v>1.052631578947369</v>
      </c>
      <c r="AA230" s="69">
        <f t="shared" si="115"/>
        <v>8.771929824561403E-2</v>
      </c>
      <c r="AB230" s="69">
        <f t="shared" si="116"/>
        <v>0.98245614035087714</v>
      </c>
      <c r="AC230" s="69">
        <f t="shared" si="117"/>
        <v>0</v>
      </c>
      <c r="AD230" s="70">
        <f t="shared" si="118"/>
        <v>0.84210526315789469</v>
      </c>
      <c r="AE230" s="71">
        <f t="shared" si="119"/>
        <v>0.6</v>
      </c>
      <c r="AF230" s="71">
        <f t="shared" ca="1" si="120"/>
        <v>0.5</v>
      </c>
      <c r="AG230" s="72">
        <f t="shared" ca="1" si="121"/>
        <v>0.56666666666666665</v>
      </c>
      <c r="AH230" s="177">
        <f t="shared" si="122"/>
        <v>5.3157894736842115</v>
      </c>
      <c r="AI230" s="185">
        <f t="shared" ca="1" si="123"/>
        <v>30.122807017543863</v>
      </c>
      <c r="AJ230" s="179" t="str">
        <f t="shared" ca="1" si="124"/>
        <v>Q4</v>
      </c>
      <c r="AK230" s="90" t="s">
        <v>329</v>
      </c>
      <c r="AL230" s="194"/>
      <c r="AM230" s="103"/>
      <c r="AN230" s="103"/>
      <c r="AO230" s="103"/>
      <c r="AP230" s="108"/>
      <c r="AQ230" s="299"/>
      <c r="AR230" s="295"/>
      <c r="AS230" s="164"/>
      <c r="AT230" s="164"/>
      <c r="AU230" s="320"/>
      <c r="AV230" s="324"/>
      <c r="AW230" s="89"/>
    </row>
    <row r="231" spans="1:49" ht="36" customHeight="1">
      <c r="A231" s="5">
        <v>272</v>
      </c>
      <c r="B231" s="229">
        <v>227</v>
      </c>
      <c r="C231" s="6" t="s">
        <v>20</v>
      </c>
      <c r="D231" s="133" t="s">
        <v>546</v>
      </c>
      <c r="E231" s="10" t="s">
        <v>764</v>
      </c>
      <c r="F231" s="23" t="s">
        <v>451</v>
      </c>
      <c r="G231" s="118" t="s">
        <v>226</v>
      </c>
      <c r="H231" s="215">
        <v>900000</v>
      </c>
      <c r="I231" s="51">
        <v>4</v>
      </c>
      <c r="J231" s="56">
        <v>0.4</v>
      </c>
      <c r="K231" s="50"/>
      <c r="L231" s="57"/>
      <c r="M231" s="62">
        <v>6</v>
      </c>
      <c r="N231" s="63">
        <v>8.0000000000000053</v>
      </c>
      <c r="O231" s="63">
        <v>4.0000000000000027</v>
      </c>
      <c r="P231" s="63">
        <v>2</v>
      </c>
      <c r="Q231" s="63">
        <v>6</v>
      </c>
      <c r="R231" s="63">
        <v>6.0000000000000036</v>
      </c>
      <c r="S231" s="63">
        <v>0</v>
      </c>
      <c r="T231" s="64">
        <v>9.9999999999999982</v>
      </c>
      <c r="U231" s="67" t="e">
        <f t="shared" ca="1" si="109"/>
        <v>#DIV/0!</v>
      </c>
      <c r="V231" s="67">
        <f t="shared" ca="1" si="110"/>
        <v>0.4</v>
      </c>
      <c r="W231" s="69">
        <f t="shared" si="111"/>
        <v>0.94736842105263153</v>
      </c>
      <c r="X231" s="69">
        <f t="shared" si="112"/>
        <v>0.84210526315789525</v>
      </c>
      <c r="Y231" s="69">
        <f t="shared" si="113"/>
        <v>0.56140350877193024</v>
      </c>
      <c r="Z231" s="69">
        <f t="shared" si="114"/>
        <v>0.35087719298245612</v>
      </c>
      <c r="AA231" s="69">
        <f t="shared" si="115"/>
        <v>0.52631578947368418</v>
      </c>
      <c r="AB231" s="69">
        <f t="shared" si="116"/>
        <v>0.73684210526315841</v>
      </c>
      <c r="AC231" s="69">
        <f t="shared" si="117"/>
        <v>0</v>
      </c>
      <c r="AD231" s="70">
        <f t="shared" si="118"/>
        <v>1.0526315789473681</v>
      </c>
      <c r="AE231" s="71">
        <f t="shared" si="119"/>
        <v>0.6</v>
      </c>
      <c r="AF231" s="71">
        <f t="shared" ca="1" si="120"/>
        <v>0.6</v>
      </c>
      <c r="AG231" s="72">
        <f t="shared" ca="1" si="121"/>
        <v>0.6</v>
      </c>
      <c r="AH231" s="177">
        <f t="shared" si="122"/>
        <v>5.0175438596491242</v>
      </c>
      <c r="AI231" s="185">
        <f t="shared" ca="1" si="123"/>
        <v>30.105263157894747</v>
      </c>
      <c r="AJ231" s="179" t="str">
        <f t="shared" ca="1" si="124"/>
        <v>Q4</v>
      </c>
      <c r="AK231" s="90" t="s">
        <v>338</v>
      </c>
      <c r="AL231" s="194"/>
      <c r="AM231" s="103"/>
      <c r="AN231" s="103"/>
      <c r="AO231" s="103"/>
      <c r="AP231" s="108"/>
      <c r="AQ231" s="299"/>
      <c r="AR231" s="295"/>
      <c r="AS231" s="164"/>
      <c r="AT231" s="164"/>
      <c r="AU231" s="320"/>
      <c r="AV231" s="324"/>
      <c r="AW231" s="89"/>
    </row>
    <row r="232" spans="1:49" s="124" customFormat="1" ht="36" customHeight="1">
      <c r="A232" s="5">
        <v>203</v>
      </c>
      <c r="B232" s="229">
        <v>228</v>
      </c>
      <c r="C232" s="6" t="s">
        <v>18</v>
      </c>
      <c r="D232" s="133" t="s">
        <v>7</v>
      </c>
      <c r="E232" s="18" t="s">
        <v>582</v>
      </c>
      <c r="F232" s="19" t="s">
        <v>148</v>
      </c>
      <c r="G232" s="20" t="s">
        <v>149</v>
      </c>
      <c r="H232" s="215">
        <v>86000</v>
      </c>
      <c r="I232" s="51">
        <v>4</v>
      </c>
      <c r="J232" s="56">
        <v>0.4</v>
      </c>
      <c r="K232" s="50"/>
      <c r="L232" s="57"/>
      <c r="M232" s="62">
        <v>4</v>
      </c>
      <c r="N232" s="63">
        <v>8.0000000000000053</v>
      </c>
      <c r="O232" s="63">
        <v>4</v>
      </c>
      <c r="P232" s="63">
        <v>6.0000000000000036</v>
      </c>
      <c r="Q232" s="63">
        <v>1</v>
      </c>
      <c r="R232" s="63">
        <v>8.0000000000000053</v>
      </c>
      <c r="S232" s="63">
        <v>0</v>
      </c>
      <c r="T232" s="64">
        <v>8.0000000000000053</v>
      </c>
      <c r="U232" s="67" t="e">
        <f t="shared" ca="1" si="109"/>
        <v>#DIV/0!</v>
      </c>
      <c r="V232" s="67">
        <f t="shared" ca="1" si="110"/>
        <v>0.4</v>
      </c>
      <c r="W232" s="69">
        <f t="shared" si="111"/>
        <v>0.63157894736842102</v>
      </c>
      <c r="X232" s="69">
        <f t="shared" si="112"/>
        <v>0.84210526315789525</v>
      </c>
      <c r="Y232" s="69">
        <f t="shared" si="113"/>
        <v>0.56140350877192979</v>
      </c>
      <c r="Z232" s="69">
        <f t="shared" si="114"/>
        <v>1.052631578947369</v>
      </c>
      <c r="AA232" s="69">
        <f t="shared" si="115"/>
        <v>8.771929824561403E-2</v>
      </c>
      <c r="AB232" s="69">
        <f t="shared" si="116"/>
        <v>0.9824561403508778</v>
      </c>
      <c r="AC232" s="69">
        <f t="shared" si="117"/>
        <v>0</v>
      </c>
      <c r="AD232" s="70">
        <f t="shared" si="118"/>
        <v>0.84210526315789525</v>
      </c>
      <c r="AE232" s="71">
        <f t="shared" si="119"/>
        <v>0.6</v>
      </c>
      <c r="AF232" s="71">
        <f t="shared" ca="1" si="120"/>
        <v>0.6</v>
      </c>
      <c r="AG232" s="72">
        <f t="shared" ca="1" si="121"/>
        <v>0.6</v>
      </c>
      <c r="AH232" s="177">
        <f t="shared" si="122"/>
        <v>5.0000000000000027</v>
      </c>
      <c r="AI232" s="185">
        <f t="shared" ca="1" si="123"/>
        <v>30.000000000000014</v>
      </c>
      <c r="AJ232" s="179" t="str">
        <f t="shared" ca="1" si="124"/>
        <v>Q4</v>
      </c>
      <c r="AK232" s="90" t="s">
        <v>662</v>
      </c>
      <c r="AL232" s="101"/>
      <c r="AM232" s="269"/>
      <c r="AN232" s="103"/>
      <c r="AO232" s="103"/>
      <c r="AP232" s="108"/>
      <c r="AQ232" s="299"/>
      <c r="AR232" s="165"/>
      <c r="AS232" s="164"/>
      <c r="AT232" s="164"/>
      <c r="AU232" s="320"/>
      <c r="AV232" s="324"/>
      <c r="AW232" s="89"/>
    </row>
    <row r="233" spans="1:49" ht="36" customHeight="1">
      <c r="A233" s="1">
        <v>206</v>
      </c>
      <c r="B233" s="229">
        <v>229</v>
      </c>
      <c r="C233" s="2" t="s">
        <v>42</v>
      </c>
      <c r="D233" s="132" t="s">
        <v>7</v>
      </c>
      <c r="E233" s="136" t="s">
        <v>597</v>
      </c>
      <c r="F233" s="137" t="s">
        <v>598</v>
      </c>
      <c r="G233" s="137" t="s">
        <v>154</v>
      </c>
      <c r="H233" s="214">
        <v>83500</v>
      </c>
      <c r="I233" s="142">
        <v>3</v>
      </c>
      <c r="J233" s="139">
        <v>0.3</v>
      </c>
      <c r="K233" s="138"/>
      <c r="L233" s="140"/>
      <c r="M233" s="62">
        <v>2</v>
      </c>
      <c r="N233" s="63">
        <v>8</v>
      </c>
      <c r="O233" s="63">
        <v>1</v>
      </c>
      <c r="P233" s="63">
        <v>8.0000000000000053</v>
      </c>
      <c r="Q233" s="63">
        <v>0</v>
      </c>
      <c r="R233" s="63">
        <v>6</v>
      </c>
      <c r="S233" s="63">
        <v>0</v>
      </c>
      <c r="T233" s="64">
        <v>8.0000000000000053</v>
      </c>
      <c r="U233" s="141" t="e">
        <f t="shared" ca="1" si="109"/>
        <v>#DIV/0!</v>
      </c>
      <c r="V233" s="141">
        <f t="shared" ca="1" si="110"/>
        <v>0.3</v>
      </c>
      <c r="W233" s="69">
        <f t="shared" si="111"/>
        <v>0.31578947368421051</v>
      </c>
      <c r="X233" s="69">
        <f t="shared" si="112"/>
        <v>0.84210526315789469</v>
      </c>
      <c r="Y233" s="69">
        <f t="shared" si="113"/>
        <v>0.14035087719298245</v>
      </c>
      <c r="Z233" s="69">
        <f t="shared" si="114"/>
        <v>1.4035087719298256</v>
      </c>
      <c r="AA233" s="69">
        <f t="shared" si="115"/>
        <v>0</v>
      </c>
      <c r="AB233" s="69">
        <f t="shared" si="116"/>
        <v>0.73684210526315785</v>
      </c>
      <c r="AC233" s="69">
        <f t="shared" si="117"/>
        <v>0</v>
      </c>
      <c r="AD233" s="70">
        <f t="shared" si="118"/>
        <v>0.84210526315789525</v>
      </c>
      <c r="AE233" s="71">
        <f t="shared" si="119"/>
        <v>0.7</v>
      </c>
      <c r="AF233" s="71">
        <f t="shared" ca="1" si="120"/>
        <v>0.7</v>
      </c>
      <c r="AG233" s="72">
        <f t="shared" ca="1" si="121"/>
        <v>0.69999999999999984</v>
      </c>
      <c r="AH233" s="176">
        <f t="shared" si="122"/>
        <v>4.2807017543859667</v>
      </c>
      <c r="AI233" s="184">
        <f t="shared" ca="1" si="123"/>
        <v>29.96491228070176</v>
      </c>
      <c r="AJ233" s="179" t="str">
        <f t="shared" ca="1" si="124"/>
        <v>Q4</v>
      </c>
      <c r="AK233" s="135" t="s">
        <v>662</v>
      </c>
      <c r="AL233" s="195"/>
      <c r="AM233" s="103"/>
      <c r="AN233" s="103"/>
      <c r="AO233" s="103"/>
      <c r="AP233" s="108"/>
      <c r="AQ233" s="299"/>
      <c r="AR233" s="295"/>
      <c r="AS233" s="164"/>
      <c r="AT233" s="164"/>
      <c r="AU233" s="320"/>
      <c r="AV233" s="324"/>
      <c r="AW233" s="87"/>
    </row>
    <row r="234" spans="1:49" ht="36" customHeight="1">
      <c r="A234" s="5">
        <v>311</v>
      </c>
      <c r="B234" s="229">
        <v>230</v>
      </c>
      <c r="C234" s="6" t="s">
        <v>20</v>
      </c>
      <c r="D234" s="133" t="s">
        <v>7</v>
      </c>
      <c r="E234" s="18" t="s">
        <v>267</v>
      </c>
      <c r="F234" s="19" t="s">
        <v>268</v>
      </c>
      <c r="G234" s="20" t="s">
        <v>269</v>
      </c>
      <c r="H234" s="215">
        <v>80000</v>
      </c>
      <c r="I234" s="51">
        <v>3</v>
      </c>
      <c r="J234" s="56">
        <v>0</v>
      </c>
      <c r="K234" s="50"/>
      <c r="L234" s="57"/>
      <c r="M234" s="62">
        <v>6.0000000000000036</v>
      </c>
      <c r="N234" s="63">
        <v>1</v>
      </c>
      <c r="O234" s="63">
        <v>4.0000000000000027</v>
      </c>
      <c r="P234" s="63">
        <v>1</v>
      </c>
      <c r="Q234" s="63">
        <v>9.9999999999999982</v>
      </c>
      <c r="R234" s="63">
        <v>1</v>
      </c>
      <c r="S234" s="63">
        <v>3</v>
      </c>
      <c r="T234" s="64">
        <v>6.0000000000000036</v>
      </c>
      <c r="U234" s="67" t="e">
        <f t="shared" ca="1" si="109"/>
        <v>#DIV/0!</v>
      </c>
      <c r="V234" s="67">
        <f t="shared" ca="1" si="110"/>
        <v>0</v>
      </c>
      <c r="W234" s="69">
        <f t="shared" si="111"/>
        <v>0.94736842105263208</v>
      </c>
      <c r="X234" s="69">
        <f t="shared" si="112"/>
        <v>0.10526315789473684</v>
      </c>
      <c r="Y234" s="69">
        <f t="shared" si="113"/>
        <v>0.56140350877193024</v>
      </c>
      <c r="Z234" s="69">
        <f t="shared" si="114"/>
        <v>0.17543859649122806</v>
      </c>
      <c r="AA234" s="69">
        <f t="shared" si="115"/>
        <v>0.87719298245614019</v>
      </c>
      <c r="AB234" s="69">
        <f t="shared" si="116"/>
        <v>0.12280701754385964</v>
      </c>
      <c r="AC234" s="69">
        <f t="shared" si="117"/>
        <v>0.31578947368421051</v>
      </c>
      <c r="AD234" s="70">
        <f t="shared" si="118"/>
        <v>0.63157894736842146</v>
      </c>
      <c r="AE234" s="71">
        <f t="shared" si="119"/>
        <v>0.7</v>
      </c>
      <c r="AF234" s="71">
        <f t="shared" ca="1" si="120"/>
        <v>1</v>
      </c>
      <c r="AG234" s="72">
        <f t="shared" ca="1" si="121"/>
        <v>0.79999999999999993</v>
      </c>
      <c r="AH234" s="177">
        <f t="shared" si="122"/>
        <v>3.7368421052631593</v>
      </c>
      <c r="AI234" s="185">
        <f t="shared" ca="1" si="123"/>
        <v>29.894736842105271</v>
      </c>
      <c r="AJ234" s="179" t="str">
        <f t="shared" ca="1" si="124"/>
        <v>Q2</v>
      </c>
      <c r="AK234" s="90" t="s">
        <v>329</v>
      </c>
      <c r="AL234" s="194"/>
      <c r="AM234" s="103"/>
      <c r="AN234" s="103"/>
      <c r="AO234" s="103"/>
      <c r="AP234" s="108"/>
      <c r="AQ234" s="299"/>
      <c r="AR234" s="295"/>
      <c r="AS234" s="164"/>
      <c r="AT234" s="164"/>
      <c r="AU234" s="320"/>
      <c r="AV234" s="324"/>
      <c r="AW234" s="89"/>
    </row>
    <row r="235" spans="1:49" ht="36" customHeight="1">
      <c r="A235" s="5">
        <v>295</v>
      </c>
      <c r="B235" s="229">
        <v>231</v>
      </c>
      <c r="C235" s="6" t="s">
        <v>6</v>
      </c>
      <c r="D235" s="133" t="s">
        <v>7</v>
      </c>
      <c r="E235" s="7" t="s">
        <v>250</v>
      </c>
      <c r="F235" s="9" t="s">
        <v>480</v>
      </c>
      <c r="G235" s="8"/>
      <c r="H235" s="213">
        <v>100000</v>
      </c>
      <c r="I235" s="50">
        <v>5</v>
      </c>
      <c r="J235" s="56">
        <v>0.3</v>
      </c>
      <c r="K235" s="50"/>
      <c r="L235" s="57"/>
      <c r="M235" s="62">
        <v>6.0000000000000036</v>
      </c>
      <c r="N235" s="63">
        <v>8.0000000000000053</v>
      </c>
      <c r="O235" s="63">
        <v>4.0000000000000027</v>
      </c>
      <c r="P235" s="63">
        <v>6.0000000000000036</v>
      </c>
      <c r="Q235" s="63">
        <v>4.0000000000000027</v>
      </c>
      <c r="R235" s="63">
        <v>6.0000000000000036</v>
      </c>
      <c r="S235" s="63">
        <v>1</v>
      </c>
      <c r="T235" s="64">
        <v>6.0000000000000036</v>
      </c>
      <c r="U235" s="67" t="e">
        <f t="shared" ca="1" si="109"/>
        <v>#DIV/0!</v>
      </c>
      <c r="V235" s="67">
        <f t="shared" ca="1" si="110"/>
        <v>0.3</v>
      </c>
      <c r="W235" s="69">
        <f t="shared" si="111"/>
        <v>0.94736842105263208</v>
      </c>
      <c r="X235" s="69">
        <f t="shared" si="112"/>
        <v>0.84210526315789525</v>
      </c>
      <c r="Y235" s="69">
        <f t="shared" si="113"/>
        <v>0.56140350877193024</v>
      </c>
      <c r="Z235" s="69">
        <f t="shared" si="114"/>
        <v>1.052631578947369</v>
      </c>
      <c r="AA235" s="69">
        <f t="shared" si="115"/>
        <v>0.3508771929824564</v>
      </c>
      <c r="AB235" s="69">
        <f t="shared" si="116"/>
        <v>0.73684210526315841</v>
      </c>
      <c r="AC235" s="69">
        <f t="shared" si="117"/>
        <v>0.10526315789473684</v>
      </c>
      <c r="AD235" s="70">
        <f t="shared" si="118"/>
        <v>0.63157894736842146</v>
      </c>
      <c r="AE235" s="71">
        <f t="shared" si="119"/>
        <v>0.5</v>
      </c>
      <c r="AF235" s="71">
        <f t="shared" ca="1" si="120"/>
        <v>0.7</v>
      </c>
      <c r="AG235" s="72">
        <f t="shared" ca="1" si="121"/>
        <v>0.56666666666666665</v>
      </c>
      <c r="AH235" s="177">
        <f t="shared" si="122"/>
        <v>5.2280701754386003</v>
      </c>
      <c r="AI235" s="185">
        <f t="shared" ca="1" si="123"/>
        <v>29.625730994152065</v>
      </c>
      <c r="AJ235" s="179" t="str">
        <f t="shared" ca="1" si="124"/>
        <v>Q4</v>
      </c>
      <c r="AK235" s="88" t="s">
        <v>329</v>
      </c>
      <c r="AL235" s="193"/>
      <c r="AM235" s="103"/>
      <c r="AN235" s="103"/>
      <c r="AO235" s="103"/>
      <c r="AP235" s="108"/>
      <c r="AQ235" s="299"/>
      <c r="AR235" s="295"/>
      <c r="AS235" s="164"/>
      <c r="AT235" s="164"/>
      <c r="AU235" s="320"/>
      <c r="AV235" s="324"/>
      <c r="AW235" s="89"/>
    </row>
    <row r="236" spans="1:49" ht="36" customHeight="1">
      <c r="A236" s="5">
        <v>347</v>
      </c>
      <c r="B236" s="229">
        <v>232</v>
      </c>
      <c r="C236" s="6" t="s">
        <v>6</v>
      </c>
      <c r="D236" s="133" t="s">
        <v>7</v>
      </c>
      <c r="E236" s="7" t="s">
        <v>306</v>
      </c>
      <c r="F236" s="9" t="s">
        <v>481</v>
      </c>
      <c r="G236" s="8"/>
      <c r="H236" s="213">
        <v>250000</v>
      </c>
      <c r="I236" s="51">
        <v>4</v>
      </c>
      <c r="J236" s="56">
        <v>0.5</v>
      </c>
      <c r="K236" s="50"/>
      <c r="L236" s="57"/>
      <c r="M236" s="62">
        <v>6.0000000000000036</v>
      </c>
      <c r="N236" s="63">
        <v>8</v>
      </c>
      <c r="O236" s="63">
        <v>4.0000000000000027</v>
      </c>
      <c r="P236" s="63">
        <v>6.0000000000000036</v>
      </c>
      <c r="Q236" s="63">
        <v>0</v>
      </c>
      <c r="R236" s="63">
        <v>8</v>
      </c>
      <c r="S236" s="63">
        <v>0</v>
      </c>
      <c r="T236" s="64">
        <v>8</v>
      </c>
      <c r="U236" s="67" t="e">
        <f t="shared" ca="1" si="109"/>
        <v>#DIV/0!</v>
      </c>
      <c r="V236" s="67">
        <f t="shared" ca="1" si="110"/>
        <v>0.5</v>
      </c>
      <c r="W236" s="69">
        <f t="shared" si="111"/>
        <v>0.94736842105263208</v>
      </c>
      <c r="X236" s="69">
        <f t="shared" si="112"/>
        <v>0.84210526315789469</v>
      </c>
      <c r="Y236" s="69">
        <f t="shared" si="113"/>
        <v>0.56140350877193024</v>
      </c>
      <c r="Z236" s="69">
        <f t="shared" si="114"/>
        <v>1.052631578947369</v>
      </c>
      <c r="AA236" s="69">
        <f t="shared" si="115"/>
        <v>0</v>
      </c>
      <c r="AB236" s="69">
        <f t="shared" si="116"/>
        <v>0.98245614035087714</v>
      </c>
      <c r="AC236" s="69">
        <f t="shared" si="117"/>
        <v>0</v>
      </c>
      <c r="AD236" s="70">
        <f t="shared" si="118"/>
        <v>0.84210526315789469</v>
      </c>
      <c r="AE236" s="71">
        <f t="shared" si="119"/>
        <v>0.6</v>
      </c>
      <c r="AF236" s="71">
        <f t="shared" ca="1" si="120"/>
        <v>0.5</v>
      </c>
      <c r="AG236" s="72">
        <f t="shared" ca="1" si="121"/>
        <v>0.56666666666666665</v>
      </c>
      <c r="AH236" s="177">
        <f t="shared" si="122"/>
        <v>5.2280701754385985</v>
      </c>
      <c r="AI236" s="185">
        <f t="shared" ca="1" si="123"/>
        <v>29.625730994152057</v>
      </c>
      <c r="AJ236" s="179" t="str">
        <f t="shared" ca="1" si="124"/>
        <v>Q4</v>
      </c>
      <c r="AK236" s="90" t="s">
        <v>329</v>
      </c>
      <c r="AL236" s="194"/>
      <c r="AM236" s="103"/>
      <c r="AN236" s="103"/>
      <c r="AO236" s="103"/>
      <c r="AP236" s="108"/>
      <c r="AQ236" s="299"/>
      <c r="AR236" s="295"/>
      <c r="AS236" s="164"/>
      <c r="AT236" s="164"/>
      <c r="AU236" s="320"/>
      <c r="AV236" s="324"/>
      <c r="AW236" s="89"/>
    </row>
    <row r="237" spans="1:49" s="124" customFormat="1" ht="36" customHeight="1">
      <c r="A237" s="5">
        <v>306</v>
      </c>
      <c r="B237" s="229">
        <v>233</v>
      </c>
      <c r="C237" s="6" t="s">
        <v>28</v>
      </c>
      <c r="D237" s="133" t="s">
        <v>7</v>
      </c>
      <c r="E237" s="18" t="s">
        <v>263</v>
      </c>
      <c r="F237" s="20" t="s">
        <v>491</v>
      </c>
      <c r="G237" s="20" t="s">
        <v>264</v>
      </c>
      <c r="H237" s="215">
        <v>244000</v>
      </c>
      <c r="I237" s="51">
        <v>4</v>
      </c>
      <c r="J237" s="56">
        <v>0.3</v>
      </c>
      <c r="K237" s="50"/>
      <c r="L237" s="57"/>
      <c r="M237" s="62">
        <v>4.0000000000000027</v>
      </c>
      <c r="N237" s="63">
        <v>6.0000000000000036</v>
      </c>
      <c r="O237" s="63">
        <v>4.0000000000000027</v>
      </c>
      <c r="P237" s="63">
        <v>4.0000000000000027</v>
      </c>
      <c r="Q237" s="63">
        <v>8.0000000000000053</v>
      </c>
      <c r="R237" s="63">
        <v>4.0000000000000027</v>
      </c>
      <c r="S237" s="63">
        <v>3</v>
      </c>
      <c r="T237" s="64">
        <v>6.0000000000000036</v>
      </c>
      <c r="U237" s="67" t="e">
        <f t="shared" ca="1" si="109"/>
        <v>#DIV/0!</v>
      </c>
      <c r="V237" s="67">
        <f t="shared" ca="1" si="110"/>
        <v>0.3</v>
      </c>
      <c r="W237" s="69">
        <f t="shared" si="111"/>
        <v>0.63157894736842146</v>
      </c>
      <c r="X237" s="69">
        <f t="shared" si="112"/>
        <v>0.63157894736842146</v>
      </c>
      <c r="Y237" s="69">
        <f t="shared" si="113"/>
        <v>0.56140350877193024</v>
      </c>
      <c r="Z237" s="69">
        <f t="shared" si="114"/>
        <v>0.7017543859649128</v>
      </c>
      <c r="AA237" s="69">
        <f t="shared" si="115"/>
        <v>0.7017543859649128</v>
      </c>
      <c r="AB237" s="69">
        <f t="shared" si="116"/>
        <v>0.4912280701754389</v>
      </c>
      <c r="AC237" s="69">
        <f t="shared" si="117"/>
        <v>0.31578947368421051</v>
      </c>
      <c r="AD237" s="70">
        <f t="shared" si="118"/>
        <v>0.63157894736842146</v>
      </c>
      <c r="AE237" s="71">
        <f t="shared" si="119"/>
        <v>0.6</v>
      </c>
      <c r="AF237" s="71">
        <f t="shared" ca="1" si="120"/>
        <v>0.7</v>
      </c>
      <c r="AG237" s="72">
        <f t="shared" ca="1" si="121"/>
        <v>0.6333333333333333</v>
      </c>
      <c r="AH237" s="177">
        <f t="shared" si="122"/>
        <v>4.6666666666666687</v>
      </c>
      <c r="AI237" s="185">
        <f t="shared" ca="1" si="123"/>
        <v>29.555555555555564</v>
      </c>
      <c r="AJ237" s="179" t="str">
        <f t="shared" ca="1" si="124"/>
        <v>Q4</v>
      </c>
      <c r="AK237" s="90" t="s">
        <v>338</v>
      </c>
      <c r="AL237" s="194"/>
      <c r="AM237" s="103"/>
      <c r="AN237" s="103"/>
      <c r="AO237" s="103"/>
      <c r="AP237" s="108"/>
      <c r="AQ237" s="299"/>
      <c r="AR237" s="295"/>
      <c r="AS237" s="164"/>
      <c r="AT237" s="164"/>
      <c r="AU237" s="320"/>
      <c r="AV237" s="324"/>
      <c r="AW237" s="89"/>
    </row>
    <row r="238" spans="1:49" ht="36" customHeight="1">
      <c r="A238" s="1">
        <v>151</v>
      </c>
      <c r="B238" s="229">
        <v>234</v>
      </c>
      <c r="C238" s="2" t="s">
        <v>18</v>
      </c>
      <c r="D238" s="132" t="s">
        <v>7</v>
      </c>
      <c r="E238" s="136" t="s">
        <v>577</v>
      </c>
      <c r="F238" s="152" t="s">
        <v>100</v>
      </c>
      <c r="G238" s="137" t="s">
        <v>101</v>
      </c>
      <c r="H238" s="217">
        <v>80000</v>
      </c>
      <c r="I238" s="142">
        <v>4</v>
      </c>
      <c r="J238" s="139">
        <v>0.3</v>
      </c>
      <c r="K238" s="138"/>
      <c r="L238" s="140"/>
      <c r="M238" s="62">
        <v>4.0000000000000027</v>
      </c>
      <c r="N238" s="63">
        <v>8.0000000000000053</v>
      </c>
      <c r="O238" s="63">
        <v>4.0000000000000027</v>
      </c>
      <c r="P238" s="63">
        <v>4</v>
      </c>
      <c r="Q238" s="63">
        <v>6.0000000000000036</v>
      </c>
      <c r="R238" s="63">
        <v>6.0000000000000036</v>
      </c>
      <c r="S238" s="63">
        <v>0</v>
      </c>
      <c r="T238" s="64">
        <v>6.0000000000000036</v>
      </c>
      <c r="U238" s="141" t="e">
        <f t="shared" ca="1" si="109"/>
        <v>#DIV/0!</v>
      </c>
      <c r="V238" s="141">
        <f t="shared" ca="1" si="110"/>
        <v>0.3</v>
      </c>
      <c r="W238" s="69">
        <f t="shared" si="111"/>
        <v>0.63157894736842146</v>
      </c>
      <c r="X238" s="69">
        <f t="shared" si="112"/>
        <v>0.84210526315789525</v>
      </c>
      <c r="Y238" s="69">
        <f t="shared" si="113"/>
        <v>0.56140350877193024</v>
      </c>
      <c r="Z238" s="69">
        <f t="shared" si="114"/>
        <v>0.70175438596491224</v>
      </c>
      <c r="AA238" s="69">
        <f t="shared" si="115"/>
        <v>0.52631578947368451</v>
      </c>
      <c r="AB238" s="69">
        <f t="shared" si="116"/>
        <v>0.73684210526315841</v>
      </c>
      <c r="AC238" s="69">
        <f t="shared" si="117"/>
        <v>0</v>
      </c>
      <c r="AD238" s="70">
        <f t="shared" si="118"/>
        <v>0.63157894736842146</v>
      </c>
      <c r="AE238" s="71">
        <f t="shared" si="119"/>
        <v>0.6</v>
      </c>
      <c r="AF238" s="71">
        <f t="shared" ca="1" si="120"/>
        <v>0.7</v>
      </c>
      <c r="AG238" s="72">
        <f t="shared" ca="1" si="121"/>
        <v>0.6333333333333333</v>
      </c>
      <c r="AH238" s="176">
        <f t="shared" si="122"/>
        <v>4.631578947368423</v>
      </c>
      <c r="AI238" s="184">
        <f t="shared" ca="1" si="123"/>
        <v>29.333333333333343</v>
      </c>
      <c r="AJ238" s="179" t="str">
        <f t="shared" ca="1" si="124"/>
        <v>Q4</v>
      </c>
      <c r="AK238" s="135" t="s">
        <v>329</v>
      </c>
      <c r="AL238" s="194"/>
      <c r="AM238" s="103"/>
      <c r="AN238" s="103"/>
      <c r="AO238" s="103"/>
      <c r="AP238" s="108"/>
      <c r="AQ238" s="299"/>
      <c r="AR238" s="295"/>
      <c r="AS238" s="164"/>
      <c r="AT238" s="164"/>
      <c r="AU238" s="320"/>
      <c r="AV238" s="324"/>
      <c r="AW238" s="87"/>
    </row>
    <row r="239" spans="1:49" ht="36" customHeight="1">
      <c r="A239" s="5">
        <v>204</v>
      </c>
      <c r="B239" s="229">
        <v>235</v>
      </c>
      <c r="C239" s="6" t="s">
        <v>42</v>
      </c>
      <c r="D239" s="133" t="s">
        <v>7</v>
      </c>
      <c r="E239" s="18" t="s">
        <v>150</v>
      </c>
      <c r="F239" s="20" t="s">
        <v>151</v>
      </c>
      <c r="G239" s="20" t="s">
        <v>152</v>
      </c>
      <c r="H239" s="215">
        <v>80000</v>
      </c>
      <c r="I239" s="51">
        <v>3</v>
      </c>
      <c r="J239" s="56">
        <v>0.3</v>
      </c>
      <c r="K239" s="50"/>
      <c r="L239" s="57"/>
      <c r="M239" s="62">
        <v>1</v>
      </c>
      <c r="N239" s="63">
        <v>8.0000000000000053</v>
      </c>
      <c r="O239" s="63">
        <v>1</v>
      </c>
      <c r="P239" s="63">
        <v>8.0000000000000053</v>
      </c>
      <c r="Q239" s="63">
        <v>0</v>
      </c>
      <c r="R239" s="63">
        <v>6</v>
      </c>
      <c r="S239" s="63">
        <v>0</v>
      </c>
      <c r="T239" s="64">
        <v>8.0000000000000053</v>
      </c>
      <c r="U239" s="67" t="e">
        <f t="shared" ca="1" si="109"/>
        <v>#DIV/0!</v>
      </c>
      <c r="V239" s="67">
        <f t="shared" ca="1" si="110"/>
        <v>0.3</v>
      </c>
      <c r="W239" s="69">
        <f t="shared" si="111"/>
        <v>0.15789473684210525</v>
      </c>
      <c r="X239" s="69">
        <f t="shared" si="112"/>
        <v>0.84210526315789525</v>
      </c>
      <c r="Y239" s="69">
        <f t="shared" si="113"/>
        <v>0.14035087719298245</v>
      </c>
      <c r="Z239" s="69">
        <f t="shared" si="114"/>
        <v>1.4035087719298256</v>
      </c>
      <c r="AA239" s="69">
        <f t="shared" si="115"/>
        <v>0</v>
      </c>
      <c r="AB239" s="69">
        <f t="shared" si="116"/>
        <v>0.73684210526315785</v>
      </c>
      <c r="AC239" s="69">
        <f t="shared" si="117"/>
        <v>0</v>
      </c>
      <c r="AD239" s="70">
        <f t="shared" si="118"/>
        <v>0.84210526315789525</v>
      </c>
      <c r="AE239" s="71">
        <f t="shared" si="119"/>
        <v>0.7</v>
      </c>
      <c r="AF239" s="71">
        <f t="shared" ca="1" si="120"/>
        <v>0.7</v>
      </c>
      <c r="AG239" s="72">
        <f t="shared" ca="1" si="121"/>
        <v>0.69999999999999984</v>
      </c>
      <c r="AH239" s="177">
        <f t="shared" si="122"/>
        <v>4.1228070175438614</v>
      </c>
      <c r="AI239" s="185">
        <f t="shared" ca="1" si="123"/>
        <v>28.859649122807024</v>
      </c>
      <c r="AJ239" s="179" t="str">
        <f t="shared" ca="1" si="124"/>
        <v>Q4</v>
      </c>
      <c r="AK239" s="90" t="s">
        <v>662</v>
      </c>
      <c r="AL239" s="101"/>
      <c r="AM239" s="269"/>
      <c r="AN239" s="103"/>
      <c r="AO239" s="103"/>
      <c r="AP239" s="108"/>
      <c r="AQ239" s="299"/>
      <c r="AR239" s="165"/>
      <c r="AS239" s="164"/>
      <c r="AT239" s="164"/>
      <c r="AU239" s="320"/>
      <c r="AV239" s="324"/>
      <c r="AW239" s="89"/>
    </row>
    <row r="240" spans="1:49" ht="36" customHeight="1">
      <c r="A240" s="5">
        <v>218</v>
      </c>
      <c r="B240" s="229">
        <v>236</v>
      </c>
      <c r="C240" s="6" t="s">
        <v>18</v>
      </c>
      <c r="D240" s="133" t="s">
        <v>383</v>
      </c>
      <c r="E240" s="12" t="s">
        <v>167</v>
      </c>
      <c r="F240" s="11" t="s">
        <v>529</v>
      </c>
      <c r="G240" s="102" t="s">
        <v>63</v>
      </c>
      <c r="H240" s="213">
        <v>180000</v>
      </c>
      <c r="I240" s="50">
        <v>3</v>
      </c>
      <c r="J240" s="56">
        <v>0.3</v>
      </c>
      <c r="K240" s="50"/>
      <c r="L240" s="57"/>
      <c r="M240" s="62">
        <v>4.0000000000000027</v>
      </c>
      <c r="N240" s="63">
        <v>8.0000000000000053</v>
      </c>
      <c r="O240" s="63">
        <v>1</v>
      </c>
      <c r="P240" s="63">
        <v>4</v>
      </c>
      <c r="Q240" s="63">
        <v>1</v>
      </c>
      <c r="R240" s="63">
        <v>7.0000000000000044</v>
      </c>
      <c r="S240" s="63">
        <v>0</v>
      </c>
      <c r="T240" s="64">
        <v>8.0000000000000053</v>
      </c>
      <c r="U240" s="67" t="e">
        <f t="shared" ca="1" si="109"/>
        <v>#DIV/0!</v>
      </c>
      <c r="V240" s="67">
        <f t="shared" ca="1" si="110"/>
        <v>0.3</v>
      </c>
      <c r="W240" s="69">
        <f t="shared" si="111"/>
        <v>0.63157894736842146</v>
      </c>
      <c r="X240" s="69">
        <f t="shared" si="112"/>
        <v>0.84210526315789525</v>
      </c>
      <c r="Y240" s="69">
        <f t="shared" si="113"/>
        <v>0.14035087719298245</v>
      </c>
      <c r="Z240" s="69">
        <f t="shared" si="114"/>
        <v>0.70175438596491224</v>
      </c>
      <c r="AA240" s="69">
        <f t="shared" si="115"/>
        <v>8.771929824561403E-2</v>
      </c>
      <c r="AB240" s="69">
        <f t="shared" si="116"/>
        <v>0.859649122807018</v>
      </c>
      <c r="AC240" s="69">
        <f t="shared" si="117"/>
        <v>0</v>
      </c>
      <c r="AD240" s="70">
        <f t="shared" si="118"/>
        <v>0.84210526315789525</v>
      </c>
      <c r="AE240" s="71">
        <f t="shared" si="119"/>
        <v>0.7</v>
      </c>
      <c r="AF240" s="71">
        <f t="shared" ca="1" si="120"/>
        <v>0.7</v>
      </c>
      <c r="AG240" s="72">
        <f t="shared" ca="1" si="121"/>
        <v>0.69999999999999984</v>
      </c>
      <c r="AH240" s="177">
        <f t="shared" si="122"/>
        <v>4.1052631578947389</v>
      </c>
      <c r="AI240" s="185">
        <f t="shared" ca="1" si="123"/>
        <v>28.736842105263168</v>
      </c>
      <c r="AJ240" s="179" t="str">
        <f t="shared" ca="1" si="124"/>
        <v>Q4</v>
      </c>
      <c r="AK240" s="88" t="s">
        <v>329</v>
      </c>
      <c r="AL240" s="193"/>
      <c r="AM240" s="103"/>
      <c r="AN240" s="103"/>
      <c r="AO240" s="103"/>
      <c r="AP240" s="108"/>
      <c r="AQ240" s="299"/>
      <c r="AR240" s="327"/>
      <c r="AS240" s="164"/>
      <c r="AT240" s="164"/>
      <c r="AU240" s="320"/>
      <c r="AV240" s="324"/>
      <c r="AW240" s="89"/>
    </row>
    <row r="241" spans="1:49" ht="36" customHeight="1">
      <c r="A241" s="5">
        <v>162</v>
      </c>
      <c r="B241" s="229">
        <v>237</v>
      </c>
      <c r="C241" s="14" t="s">
        <v>35</v>
      </c>
      <c r="D241" s="168" t="s">
        <v>383</v>
      </c>
      <c r="E241" s="10" t="s">
        <v>168</v>
      </c>
      <c r="F241" s="13" t="s">
        <v>754</v>
      </c>
      <c r="G241" s="106" t="s">
        <v>169</v>
      </c>
      <c r="H241" s="213">
        <v>148135</v>
      </c>
      <c r="I241" s="51">
        <v>3</v>
      </c>
      <c r="J241" s="56">
        <v>0.4</v>
      </c>
      <c r="K241" s="50"/>
      <c r="L241" s="57"/>
      <c r="M241" s="62">
        <v>2</v>
      </c>
      <c r="N241" s="63">
        <v>4.0000000000000027</v>
      </c>
      <c r="O241" s="63">
        <v>2</v>
      </c>
      <c r="P241" s="63">
        <v>8</v>
      </c>
      <c r="Q241" s="63">
        <v>6</v>
      </c>
      <c r="R241" s="63">
        <v>5</v>
      </c>
      <c r="S241" s="63">
        <v>0</v>
      </c>
      <c r="T241" s="64">
        <v>7</v>
      </c>
      <c r="U241" s="67" t="e">
        <f t="shared" ca="1" si="109"/>
        <v>#DIV/0!</v>
      </c>
      <c r="V241" s="67">
        <f t="shared" ca="1" si="110"/>
        <v>0.4</v>
      </c>
      <c r="W241" s="69">
        <f t="shared" si="111"/>
        <v>0.31578947368421051</v>
      </c>
      <c r="X241" s="69">
        <f t="shared" si="112"/>
        <v>0.42105263157894762</v>
      </c>
      <c r="Y241" s="69">
        <f t="shared" si="113"/>
        <v>0.2807017543859649</v>
      </c>
      <c r="Z241" s="69">
        <f t="shared" si="114"/>
        <v>1.4035087719298245</v>
      </c>
      <c r="AA241" s="69">
        <f t="shared" si="115"/>
        <v>0.52631578947368418</v>
      </c>
      <c r="AB241" s="69">
        <f t="shared" si="116"/>
        <v>0.61403508771929827</v>
      </c>
      <c r="AC241" s="69">
        <f t="shared" si="117"/>
        <v>0</v>
      </c>
      <c r="AD241" s="70">
        <f t="shared" si="118"/>
        <v>0.73684210526315785</v>
      </c>
      <c r="AE241" s="71">
        <f t="shared" si="119"/>
        <v>0.7</v>
      </c>
      <c r="AF241" s="71">
        <f t="shared" ca="1" si="120"/>
        <v>0.6</v>
      </c>
      <c r="AG241" s="72">
        <f t="shared" ca="1" si="121"/>
        <v>0.66666666666666663</v>
      </c>
      <c r="AH241" s="177">
        <f t="shared" si="122"/>
        <v>4.2982456140350882</v>
      </c>
      <c r="AI241" s="185">
        <f t="shared" ca="1" si="123"/>
        <v>28.654970760233919</v>
      </c>
      <c r="AJ241" s="179" t="str">
        <f t="shared" ca="1" si="124"/>
        <v>Q4</v>
      </c>
      <c r="AK241" s="90" t="s">
        <v>338</v>
      </c>
      <c r="AL241" s="101"/>
      <c r="AM241" s="269"/>
      <c r="AN241" s="103"/>
      <c r="AO241" s="103"/>
      <c r="AP241" s="108"/>
      <c r="AQ241" s="299"/>
      <c r="AR241" s="327"/>
      <c r="AS241" s="164"/>
      <c r="AT241" s="164"/>
      <c r="AU241" s="320"/>
      <c r="AV241" s="324"/>
      <c r="AW241" s="89"/>
    </row>
    <row r="242" spans="1:49" ht="36" customHeight="1">
      <c r="A242" s="5">
        <v>265</v>
      </c>
      <c r="B242" s="229">
        <v>238</v>
      </c>
      <c r="C242" s="6" t="s">
        <v>18</v>
      </c>
      <c r="D242" s="133" t="s">
        <v>383</v>
      </c>
      <c r="E242" s="12" t="s">
        <v>115</v>
      </c>
      <c r="F242" s="22" t="s">
        <v>116</v>
      </c>
      <c r="G242" s="102" t="s">
        <v>117</v>
      </c>
      <c r="H242" s="213">
        <v>150000</v>
      </c>
      <c r="I242" s="50">
        <v>4</v>
      </c>
      <c r="J242" s="56">
        <v>0.3</v>
      </c>
      <c r="K242" s="50"/>
      <c r="L242" s="57"/>
      <c r="M242" s="62">
        <v>5</v>
      </c>
      <c r="N242" s="63">
        <v>6</v>
      </c>
      <c r="O242" s="63">
        <v>5</v>
      </c>
      <c r="P242" s="63">
        <v>4.0000000000000027</v>
      </c>
      <c r="Q242" s="63">
        <v>0</v>
      </c>
      <c r="R242" s="63">
        <v>5</v>
      </c>
      <c r="S242" s="63">
        <v>2</v>
      </c>
      <c r="T242" s="64">
        <v>8</v>
      </c>
      <c r="U242" s="67" t="e">
        <f t="shared" ca="1" si="109"/>
        <v>#DIV/0!</v>
      </c>
      <c r="V242" s="67">
        <f t="shared" ca="1" si="110"/>
        <v>0.3</v>
      </c>
      <c r="W242" s="69">
        <f t="shared" si="111"/>
        <v>0.78947368421052633</v>
      </c>
      <c r="X242" s="69">
        <f t="shared" si="112"/>
        <v>0.63157894736842102</v>
      </c>
      <c r="Y242" s="69">
        <f t="shared" si="113"/>
        <v>0.70175438596491224</v>
      </c>
      <c r="Z242" s="69">
        <f t="shared" si="114"/>
        <v>0.7017543859649128</v>
      </c>
      <c r="AA242" s="69">
        <f t="shared" si="115"/>
        <v>0</v>
      </c>
      <c r="AB242" s="69">
        <f t="shared" si="116"/>
        <v>0.61403508771929827</v>
      </c>
      <c r="AC242" s="69">
        <f t="shared" si="117"/>
        <v>0.21052631578947367</v>
      </c>
      <c r="AD242" s="70">
        <f t="shared" si="118"/>
        <v>0.84210526315789469</v>
      </c>
      <c r="AE242" s="71">
        <f t="shared" si="119"/>
        <v>0.6</v>
      </c>
      <c r="AF242" s="71">
        <f t="shared" ca="1" si="120"/>
        <v>0.7</v>
      </c>
      <c r="AG242" s="72">
        <f t="shared" ca="1" si="121"/>
        <v>0.6333333333333333</v>
      </c>
      <c r="AH242" s="177">
        <f t="shared" si="122"/>
        <v>4.4912280701754392</v>
      </c>
      <c r="AI242" s="185">
        <f t="shared" ca="1" si="123"/>
        <v>28.444444444444446</v>
      </c>
      <c r="AJ242" s="179" t="str">
        <f t="shared" ca="1" si="124"/>
        <v>Q4</v>
      </c>
      <c r="AK242" s="88" t="s">
        <v>329</v>
      </c>
      <c r="AL242" s="192"/>
      <c r="AM242" s="103"/>
      <c r="AN242" s="103"/>
      <c r="AO242" s="103"/>
      <c r="AP242" s="108"/>
      <c r="AQ242" s="299"/>
      <c r="AR242" s="327"/>
      <c r="AS242" s="164"/>
      <c r="AT242" s="164"/>
      <c r="AU242" s="320"/>
      <c r="AV242" s="324"/>
      <c r="AW242" s="89"/>
    </row>
    <row r="243" spans="1:49" ht="36" customHeight="1">
      <c r="A243" s="5">
        <v>343</v>
      </c>
      <c r="B243" s="229">
        <v>239</v>
      </c>
      <c r="C243" s="6" t="s">
        <v>42</v>
      </c>
      <c r="D243" s="133" t="s">
        <v>7</v>
      </c>
      <c r="E243" s="18" t="s">
        <v>220</v>
      </c>
      <c r="F243" s="20" t="s">
        <v>680</v>
      </c>
      <c r="G243" s="20" t="s">
        <v>221</v>
      </c>
      <c r="H243" s="215">
        <v>207000</v>
      </c>
      <c r="I243" s="51">
        <v>2</v>
      </c>
      <c r="J243" s="56">
        <v>0.5</v>
      </c>
      <c r="K243" s="50"/>
      <c r="L243" s="57"/>
      <c r="M243" s="62">
        <v>6.0000000000000036</v>
      </c>
      <c r="N243" s="63">
        <v>1</v>
      </c>
      <c r="O243" s="63">
        <v>4.0000000000000027</v>
      </c>
      <c r="P243" s="63">
        <v>6.0000000000000036</v>
      </c>
      <c r="Q243" s="63">
        <v>6.0000000000000036</v>
      </c>
      <c r="R243" s="63">
        <v>1</v>
      </c>
      <c r="S243" s="63">
        <v>1</v>
      </c>
      <c r="T243" s="64">
        <v>6.0000000000000036</v>
      </c>
      <c r="U243" s="67" t="e">
        <f t="shared" ca="1" si="109"/>
        <v>#DIV/0!</v>
      </c>
      <c r="V243" s="67">
        <f t="shared" ca="1" si="110"/>
        <v>0.5</v>
      </c>
      <c r="W243" s="69">
        <f t="shared" si="111"/>
        <v>0.94736842105263208</v>
      </c>
      <c r="X243" s="69">
        <f t="shared" si="112"/>
        <v>0.10526315789473684</v>
      </c>
      <c r="Y243" s="69">
        <f t="shared" si="113"/>
        <v>0.56140350877193024</v>
      </c>
      <c r="Z243" s="69">
        <f t="shared" si="114"/>
        <v>1.052631578947369</v>
      </c>
      <c r="AA243" s="69">
        <f t="shared" si="115"/>
        <v>0.52631578947368451</v>
      </c>
      <c r="AB243" s="69">
        <f t="shared" si="116"/>
        <v>0.12280701754385964</v>
      </c>
      <c r="AC243" s="69">
        <f t="shared" si="117"/>
        <v>0.10526315789473684</v>
      </c>
      <c r="AD243" s="70">
        <f t="shared" si="118"/>
        <v>0.63157894736842146</v>
      </c>
      <c r="AE243" s="71">
        <f t="shared" si="119"/>
        <v>0.8</v>
      </c>
      <c r="AF243" s="71">
        <f t="shared" ca="1" si="120"/>
        <v>0.5</v>
      </c>
      <c r="AG243" s="72">
        <f t="shared" ca="1" si="121"/>
        <v>0.70000000000000007</v>
      </c>
      <c r="AH243" s="177">
        <f t="shared" si="122"/>
        <v>4.0526315789473708</v>
      </c>
      <c r="AI243" s="185">
        <f t="shared" ca="1" si="123"/>
        <v>28.368421052631597</v>
      </c>
      <c r="AJ243" s="179" t="str">
        <f t="shared" ca="1" si="124"/>
        <v>Q4</v>
      </c>
      <c r="AK243" s="90" t="s">
        <v>329</v>
      </c>
      <c r="AL243" s="194"/>
      <c r="AM243" s="103"/>
      <c r="AN243" s="103"/>
      <c r="AO243" s="103"/>
      <c r="AP243" s="108"/>
      <c r="AQ243" s="299"/>
      <c r="AR243" s="327"/>
      <c r="AS243" s="164"/>
      <c r="AT243" s="164"/>
      <c r="AU243" s="320"/>
      <c r="AV243" s="324"/>
      <c r="AW243" s="89"/>
    </row>
    <row r="244" spans="1:49" ht="36" customHeight="1">
      <c r="A244" s="5">
        <v>252</v>
      </c>
      <c r="B244" s="229">
        <v>240</v>
      </c>
      <c r="C244" s="6" t="s">
        <v>6</v>
      </c>
      <c r="D244" s="133" t="s">
        <v>7</v>
      </c>
      <c r="E244" s="7" t="s">
        <v>422</v>
      </c>
      <c r="F244" s="9" t="s">
        <v>591</v>
      </c>
      <c r="G244" s="8"/>
      <c r="H244" s="213">
        <v>300000</v>
      </c>
      <c r="I244" s="51">
        <v>5</v>
      </c>
      <c r="J244" s="56">
        <v>0.4</v>
      </c>
      <c r="K244" s="50"/>
      <c r="L244" s="57"/>
      <c r="M244" s="62">
        <v>6.0000000000000036</v>
      </c>
      <c r="N244" s="63">
        <v>8</v>
      </c>
      <c r="O244" s="63">
        <v>4.0000000000000027</v>
      </c>
      <c r="P244" s="63">
        <v>6.0000000000000036</v>
      </c>
      <c r="Q244" s="63">
        <v>1</v>
      </c>
      <c r="R244" s="63">
        <v>8</v>
      </c>
      <c r="S244" s="63">
        <v>0</v>
      </c>
      <c r="T244" s="64">
        <v>8</v>
      </c>
      <c r="U244" s="67" t="e">
        <f t="shared" ca="1" si="109"/>
        <v>#DIV/0!</v>
      </c>
      <c r="V244" s="67">
        <f t="shared" ca="1" si="110"/>
        <v>0.4</v>
      </c>
      <c r="W244" s="69">
        <f t="shared" si="111"/>
        <v>0.94736842105263208</v>
      </c>
      <c r="X244" s="69">
        <f t="shared" si="112"/>
        <v>0.84210526315789469</v>
      </c>
      <c r="Y244" s="69">
        <f t="shared" si="113"/>
        <v>0.56140350877193024</v>
      </c>
      <c r="Z244" s="69">
        <f t="shared" si="114"/>
        <v>1.052631578947369</v>
      </c>
      <c r="AA244" s="69">
        <f t="shared" si="115"/>
        <v>8.771929824561403E-2</v>
      </c>
      <c r="AB244" s="69">
        <f t="shared" si="116"/>
        <v>0.98245614035087714</v>
      </c>
      <c r="AC244" s="69">
        <f t="shared" si="117"/>
        <v>0</v>
      </c>
      <c r="AD244" s="70">
        <f t="shared" si="118"/>
        <v>0.84210526315789469</v>
      </c>
      <c r="AE244" s="71">
        <f t="shared" si="119"/>
        <v>0.5</v>
      </c>
      <c r="AF244" s="71">
        <f t="shared" ca="1" si="120"/>
        <v>0.6</v>
      </c>
      <c r="AG244" s="72">
        <f t="shared" ca="1" si="121"/>
        <v>0.53333333333333333</v>
      </c>
      <c r="AH244" s="177">
        <f t="shared" si="122"/>
        <v>5.3157894736842115</v>
      </c>
      <c r="AI244" s="185">
        <f t="shared" ca="1" si="123"/>
        <v>28.350877192982459</v>
      </c>
      <c r="AJ244" s="179" t="str">
        <f t="shared" ca="1" si="124"/>
        <v>Q4</v>
      </c>
      <c r="AK244" s="90" t="s">
        <v>329</v>
      </c>
      <c r="AL244" s="194"/>
      <c r="AM244" s="103"/>
      <c r="AN244" s="103"/>
      <c r="AO244" s="103"/>
      <c r="AP244" s="108"/>
      <c r="AQ244" s="299"/>
      <c r="AR244" s="295"/>
      <c r="AS244" s="164"/>
      <c r="AT244" s="164"/>
      <c r="AU244" s="320"/>
      <c r="AV244" s="324"/>
      <c r="AW244" s="89"/>
    </row>
    <row r="245" spans="1:49" ht="36" customHeight="1">
      <c r="A245" s="5">
        <v>307</v>
      </c>
      <c r="B245" s="229">
        <v>241</v>
      </c>
      <c r="C245" s="6" t="s">
        <v>8</v>
      </c>
      <c r="D245" s="133" t="s">
        <v>7</v>
      </c>
      <c r="E245" s="18" t="s">
        <v>588</v>
      </c>
      <c r="F245" s="19" t="s">
        <v>203</v>
      </c>
      <c r="G245" s="20" t="s">
        <v>589</v>
      </c>
      <c r="H245" s="216">
        <v>200000</v>
      </c>
      <c r="I245" s="51">
        <v>3</v>
      </c>
      <c r="J245" s="56">
        <v>0.4</v>
      </c>
      <c r="K245" s="50"/>
      <c r="L245" s="57"/>
      <c r="M245" s="62">
        <v>2</v>
      </c>
      <c r="N245" s="63">
        <v>4</v>
      </c>
      <c r="O245" s="63">
        <v>6.0000000000000036</v>
      </c>
      <c r="P245" s="63">
        <v>4.0000000000000027</v>
      </c>
      <c r="Q245" s="63">
        <v>8.0000000000000053</v>
      </c>
      <c r="R245" s="63">
        <v>6.0000000000000036</v>
      </c>
      <c r="S245" s="63">
        <v>4</v>
      </c>
      <c r="T245" s="64">
        <v>1</v>
      </c>
      <c r="U245" s="67" t="e">
        <f t="shared" ca="1" si="109"/>
        <v>#DIV/0!</v>
      </c>
      <c r="V245" s="67">
        <f t="shared" ca="1" si="110"/>
        <v>0.4</v>
      </c>
      <c r="W245" s="69">
        <f t="shared" si="111"/>
        <v>0.31578947368421051</v>
      </c>
      <c r="X245" s="69">
        <f t="shared" si="112"/>
        <v>0.42105263157894735</v>
      </c>
      <c r="Y245" s="69">
        <f t="shared" si="113"/>
        <v>0.84210526315789525</v>
      </c>
      <c r="Z245" s="69">
        <f t="shared" si="114"/>
        <v>0.7017543859649128</v>
      </c>
      <c r="AA245" s="69">
        <f t="shared" si="115"/>
        <v>0.7017543859649128</v>
      </c>
      <c r="AB245" s="69">
        <f t="shared" si="116"/>
        <v>0.73684210526315841</v>
      </c>
      <c r="AC245" s="69">
        <f t="shared" si="117"/>
        <v>0.42105263157894735</v>
      </c>
      <c r="AD245" s="70">
        <f t="shared" si="118"/>
        <v>0.10526315789473684</v>
      </c>
      <c r="AE245" s="71">
        <f t="shared" si="119"/>
        <v>0.7</v>
      </c>
      <c r="AF245" s="71">
        <f t="shared" ca="1" si="120"/>
        <v>0.6</v>
      </c>
      <c r="AG245" s="72">
        <f t="shared" ca="1" si="121"/>
        <v>0.66666666666666663</v>
      </c>
      <c r="AH245" s="177">
        <f t="shared" si="122"/>
        <v>4.2456140350877218</v>
      </c>
      <c r="AI245" s="185">
        <f t="shared" ca="1" si="123"/>
        <v>28.304093567251478</v>
      </c>
      <c r="AJ245" s="179" t="str">
        <f t="shared" ref="AJ245:AJ276" ca="1" si="125">IF(AG245&gt;$AG$2,IF(AH245&gt;$AH$2,"Q1","Q2"),IF(AH245&gt;$AH$2,"Q3","Q4"))</f>
        <v>Q4</v>
      </c>
      <c r="AK245" s="90" t="s">
        <v>338</v>
      </c>
      <c r="AL245" s="194"/>
      <c r="AM245" s="103"/>
      <c r="AN245" s="103"/>
      <c r="AO245" s="103"/>
      <c r="AP245" s="108"/>
      <c r="AQ245" s="299"/>
      <c r="AR245" s="295"/>
      <c r="AS245" s="164"/>
      <c r="AT245" s="164"/>
      <c r="AU245" s="320"/>
      <c r="AV245" s="324"/>
      <c r="AW245" s="89"/>
    </row>
    <row r="246" spans="1:49" ht="36" customHeight="1">
      <c r="A246" s="5">
        <v>290</v>
      </c>
      <c r="B246" s="229">
        <v>242</v>
      </c>
      <c r="C246" s="259" t="s">
        <v>25</v>
      </c>
      <c r="D246" s="257"/>
      <c r="E246" s="10" t="s">
        <v>686</v>
      </c>
      <c r="F246" s="11" t="s">
        <v>688</v>
      </c>
      <c r="G246" s="258"/>
      <c r="H246" s="219">
        <v>250000</v>
      </c>
      <c r="I246" s="51">
        <v>5</v>
      </c>
      <c r="J246" s="56">
        <v>0.5</v>
      </c>
      <c r="K246" s="50"/>
      <c r="L246" s="57" t="s">
        <v>416</v>
      </c>
      <c r="M246" s="62">
        <v>8</v>
      </c>
      <c r="N246" s="63">
        <v>5</v>
      </c>
      <c r="O246" s="63">
        <v>6</v>
      </c>
      <c r="P246" s="63">
        <v>5</v>
      </c>
      <c r="Q246" s="63">
        <v>1</v>
      </c>
      <c r="R246" s="63">
        <v>9</v>
      </c>
      <c r="S246" s="63">
        <v>0</v>
      </c>
      <c r="T246" s="64">
        <v>9</v>
      </c>
      <c r="U246" s="67" t="e">
        <f t="shared" ca="1" si="109"/>
        <v>#VALUE!</v>
      </c>
      <c r="V246" s="67">
        <f t="shared" ca="1" si="110"/>
        <v>0.5</v>
      </c>
      <c r="W246" s="69">
        <f t="shared" si="111"/>
        <v>1.263157894736842</v>
      </c>
      <c r="X246" s="69">
        <f t="shared" si="112"/>
        <v>0.52631578947368418</v>
      </c>
      <c r="Y246" s="69">
        <f t="shared" si="113"/>
        <v>0.84210526315789469</v>
      </c>
      <c r="Z246" s="69">
        <f t="shared" si="114"/>
        <v>0.8771929824561403</v>
      </c>
      <c r="AA246" s="69">
        <f t="shared" si="115"/>
        <v>8.771929824561403E-2</v>
      </c>
      <c r="AB246" s="69">
        <f t="shared" si="116"/>
        <v>1.1052631578947369</v>
      </c>
      <c r="AC246" s="69">
        <f t="shared" si="117"/>
        <v>0</v>
      </c>
      <c r="AD246" s="70">
        <f t="shared" si="118"/>
        <v>0.94736842105263153</v>
      </c>
      <c r="AE246" s="71">
        <f t="shared" si="119"/>
        <v>0.5</v>
      </c>
      <c r="AF246" s="71">
        <f t="shared" ca="1" si="120"/>
        <v>0.5</v>
      </c>
      <c r="AG246" s="72">
        <f t="shared" ca="1" si="121"/>
        <v>0.5</v>
      </c>
      <c r="AH246" s="177">
        <f t="shared" si="122"/>
        <v>5.6491228070175437</v>
      </c>
      <c r="AI246" s="185">
        <f t="shared" ca="1" si="123"/>
        <v>28.245614035087719</v>
      </c>
      <c r="AJ246" s="179" t="str">
        <f t="shared" ca="1" si="125"/>
        <v>Q4</v>
      </c>
      <c r="AK246" s="90" t="s">
        <v>329</v>
      </c>
      <c r="AL246" s="193"/>
      <c r="AM246" s="103"/>
      <c r="AN246" s="103"/>
      <c r="AO246" s="103"/>
      <c r="AP246" s="108"/>
      <c r="AQ246" s="299"/>
      <c r="AR246" s="295"/>
      <c r="AS246" s="164"/>
      <c r="AT246" s="164"/>
      <c r="AU246" s="320"/>
      <c r="AV246" s="324"/>
      <c r="AW246" s="89"/>
    </row>
    <row r="247" spans="1:49" ht="36" customHeight="1">
      <c r="A247" s="5">
        <v>300</v>
      </c>
      <c r="B247" s="229">
        <v>243</v>
      </c>
      <c r="C247" s="6" t="s">
        <v>18</v>
      </c>
      <c r="D247" s="133" t="s">
        <v>7</v>
      </c>
      <c r="E247" s="18" t="s">
        <v>583</v>
      </c>
      <c r="F247" s="19" t="s">
        <v>265</v>
      </c>
      <c r="G247" s="20" t="s">
        <v>266</v>
      </c>
      <c r="H247" s="215">
        <v>75500</v>
      </c>
      <c r="I247" s="51">
        <v>5</v>
      </c>
      <c r="J247" s="56">
        <v>0.4</v>
      </c>
      <c r="K247" s="50"/>
      <c r="L247" s="57"/>
      <c r="M247" s="62">
        <v>4.0000000000000027</v>
      </c>
      <c r="N247" s="63">
        <v>6.0000000000000036</v>
      </c>
      <c r="O247" s="63">
        <v>4.0000000000000027</v>
      </c>
      <c r="P247" s="63">
        <v>6.0000000000000036</v>
      </c>
      <c r="Q247" s="63">
        <v>8.0000000000000053</v>
      </c>
      <c r="R247" s="63">
        <v>6.0000000000000036</v>
      </c>
      <c r="S247" s="63">
        <v>2</v>
      </c>
      <c r="T247" s="64">
        <v>6.0000000000000036</v>
      </c>
      <c r="U247" s="67" t="e">
        <f t="shared" ca="1" si="109"/>
        <v>#DIV/0!</v>
      </c>
      <c r="V247" s="67">
        <f t="shared" ca="1" si="110"/>
        <v>0.4</v>
      </c>
      <c r="W247" s="69">
        <f t="shared" si="111"/>
        <v>0.63157894736842146</v>
      </c>
      <c r="X247" s="69">
        <f t="shared" si="112"/>
        <v>0.63157894736842146</v>
      </c>
      <c r="Y247" s="69">
        <f t="shared" si="113"/>
        <v>0.56140350877193024</v>
      </c>
      <c r="Z247" s="69">
        <f t="shared" si="114"/>
        <v>1.052631578947369</v>
      </c>
      <c r="AA247" s="69">
        <f t="shared" si="115"/>
        <v>0.7017543859649128</v>
      </c>
      <c r="AB247" s="69">
        <f t="shared" si="116"/>
        <v>0.73684210526315841</v>
      </c>
      <c r="AC247" s="69">
        <f t="shared" si="117"/>
        <v>0.21052631578947367</v>
      </c>
      <c r="AD247" s="70">
        <f t="shared" si="118"/>
        <v>0.63157894736842146</v>
      </c>
      <c r="AE247" s="71">
        <f t="shared" si="119"/>
        <v>0.5</v>
      </c>
      <c r="AF247" s="71">
        <f t="shared" ca="1" si="120"/>
        <v>0.6</v>
      </c>
      <c r="AG247" s="72">
        <f t="shared" ca="1" si="121"/>
        <v>0.53333333333333333</v>
      </c>
      <c r="AH247" s="177">
        <f t="shared" si="122"/>
        <v>5.157894736842108</v>
      </c>
      <c r="AI247" s="185">
        <f t="shared" ca="1" si="123"/>
        <v>27.508771929824576</v>
      </c>
      <c r="AJ247" s="179" t="str">
        <f t="shared" ca="1" si="125"/>
        <v>Q4</v>
      </c>
      <c r="AK247" s="90" t="s">
        <v>338</v>
      </c>
      <c r="AL247" s="194"/>
      <c r="AM247" s="103"/>
      <c r="AN247" s="103"/>
      <c r="AO247" s="103"/>
      <c r="AP247" s="108"/>
      <c r="AQ247" s="299"/>
      <c r="AR247" s="295"/>
      <c r="AS247" s="164"/>
      <c r="AT247" s="164"/>
      <c r="AU247" s="320"/>
      <c r="AV247" s="324"/>
      <c r="AW247" s="89"/>
    </row>
    <row r="248" spans="1:49" ht="36" customHeight="1">
      <c r="A248" s="5">
        <v>335</v>
      </c>
      <c r="B248" s="229">
        <v>244</v>
      </c>
      <c r="C248" s="6" t="s">
        <v>35</v>
      </c>
      <c r="D248" s="133" t="s">
        <v>7</v>
      </c>
      <c r="E248" s="10" t="s">
        <v>242</v>
      </c>
      <c r="F248" s="13" t="s">
        <v>740</v>
      </c>
      <c r="G248" s="106" t="s">
        <v>243</v>
      </c>
      <c r="H248" s="213">
        <v>100000</v>
      </c>
      <c r="I248" s="51">
        <v>3</v>
      </c>
      <c r="J248" s="56">
        <v>0.3</v>
      </c>
      <c r="K248" s="50"/>
      <c r="L248" s="57"/>
      <c r="M248" s="62">
        <v>4.0000000000000027</v>
      </c>
      <c r="N248" s="63">
        <v>6.0000000000000036</v>
      </c>
      <c r="O248" s="63">
        <v>6.0000000000000036</v>
      </c>
      <c r="P248" s="63">
        <v>1</v>
      </c>
      <c r="Q248" s="63">
        <v>6</v>
      </c>
      <c r="R248" s="63">
        <v>4.0000000000000027</v>
      </c>
      <c r="S248" s="63">
        <v>0</v>
      </c>
      <c r="T248" s="64">
        <v>6.0000000000000036</v>
      </c>
      <c r="U248" s="67" t="e">
        <f t="shared" ca="1" si="109"/>
        <v>#DIV/0!</v>
      </c>
      <c r="V248" s="67">
        <f t="shared" ca="1" si="110"/>
        <v>0.3</v>
      </c>
      <c r="W248" s="69">
        <f t="shared" si="111"/>
        <v>0.63157894736842146</v>
      </c>
      <c r="X248" s="69">
        <f t="shared" si="112"/>
        <v>0.63157894736842146</v>
      </c>
      <c r="Y248" s="69">
        <f t="shared" si="113"/>
        <v>0.84210526315789525</v>
      </c>
      <c r="Z248" s="69">
        <f t="shared" si="114"/>
        <v>0.17543859649122806</v>
      </c>
      <c r="AA248" s="69">
        <f t="shared" si="115"/>
        <v>0.52631578947368418</v>
      </c>
      <c r="AB248" s="69">
        <f t="shared" si="116"/>
        <v>0.4912280701754389</v>
      </c>
      <c r="AC248" s="69">
        <f t="shared" si="117"/>
        <v>0</v>
      </c>
      <c r="AD248" s="70">
        <f t="shared" si="118"/>
        <v>0.63157894736842146</v>
      </c>
      <c r="AE248" s="71">
        <f t="shared" si="119"/>
        <v>0.7</v>
      </c>
      <c r="AF248" s="71">
        <f t="shared" ca="1" si="120"/>
        <v>0.7</v>
      </c>
      <c r="AG248" s="72">
        <f t="shared" ca="1" si="121"/>
        <v>0.69999999999999984</v>
      </c>
      <c r="AH248" s="177">
        <f t="shared" si="122"/>
        <v>3.9298245614035103</v>
      </c>
      <c r="AI248" s="185">
        <f t="shared" ca="1" si="123"/>
        <v>27.508771929824569</v>
      </c>
      <c r="AJ248" s="179" t="str">
        <f t="shared" ca="1" si="125"/>
        <v>Q4</v>
      </c>
      <c r="AK248" s="90" t="s">
        <v>338</v>
      </c>
      <c r="AL248" s="194"/>
      <c r="AM248" s="103"/>
      <c r="AN248" s="103"/>
      <c r="AO248" s="103"/>
      <c r="AP248" s="108"/>
      <c r="AQ248" s="299"/>
      <c r="AR248" s="295"/>
      <c r="AS248" s="164"/>
      <c r="AT248" s="164"/>
      <c r="AU248" s="320"/>
      <c r="AV248" s="324"/>
      <c r="AW248" s="89"/>
    </row>
    <row r="249" spans="1:49" ht="36" customHeight="1">
      <c r="A249" s="5">
        <v>314</v>
      </c>
      <c r="B249" s="229">
        <v>245</v>
      </c>
      <c r="C249" s="14" t="s">
        <v>20</v>
      </c>
      <c r="D249" s="168" t="s">
        <v>7</v>
      </c>
      <c r="E249" s="7" t="s">
        <v>438</v>
      </c>
      <c r="F249" s="8" t="s">
        <v>258</v>
      </c>
      <c r="G249" s="8" t="s">
        <v>259</v>
      </c>
      <c r="H249" s="213">
        <v>194000</v>
      </c>
      <c r="I249" s="51">
        <v>2</v>
      </c>
      <c r="J249" s="56">
        <v>0.2</v>
      </c>
      <c r="K249" s="50"/>
      <c r="L249" s="57"/>
      <c r="M249" s="62">
        <v>1</v>
      </c>
      <c r="N249" s="63">
        <v>4.0000000000000027</v>
      </c>
      <c r="O249" s="63">
        <v>1</v>
      </c>
      <c r="P249" s="63">
        <v>8.0000000000000053</v>
      </c>
      <c r="Q249" s="63">
        <v>1</v>
      </c>
      <c r="R249" s="63">
        <v>4.0000000000000027</v>
      </c>
      <c r="S249" s="63">
        <v>0</v>
      </c>
      <c r="T249" s="64">
        <v>6</v>
      </c>
      <c r="U249" s="67" t="e">
        <f t="shared" ca="1" si="109"/>
        <v>#DIV/0!</v>
      </c>
      <c r="V249" s="67">
        <f t="shared" ca="1" si="110"/>
        <v>0.2</v>
      </c>
      <c r="W249" s="69">
        <f t="shared" si="111"/>
        <v>0.15789473684210525</v>
      </c>
      <c r="X249" s="69">
        <f t="shared" si="112"/>
        <v>0.42105263157894762</v>
      </c>
      <c r="Y249" s="69">
        <f t="shared" si="113"/>
        <v>0.14035087719298245</v>
      </c>
      <c r="Z249" s="69">
        <f t="shared" si="114"/>
        <v>1.4035087719298256</v>
      </c>
      <c r="AA249" s="69">
        <f t="shared" si="115"/>
        <v>8.771929824561403E-2</v>
      </c>
      <c r="AB249" s="69">
        <f t="shared" si="116"/>
        <v>0.4912280701754389</v>
      </c>
      <c r="AC249" s="69">
        <f t="shared" si="117"/>
        <v>0</v>
      </c>
      <c r="AD249" s="70">
        <f t="shared" si="118"/>
        <v>0.63157894736842102</v>
      </c>
      <c r="AE249" s="71">
        <f t="shared" si="119"/>
        <v>0.8</v>
      </c>
      <c r="AF249" s="71">
        <f t="shared" ca="1" si="120"/>
        <v>0.8</v>
      </c>
      <c r="AG249" s="72">
        <f t="shared" ca="1" si="121"/>
        <v>0.80000000000000016</v>
      </c>
      <c r="AH249" s="177">
        <f t="shared" si="122"/>
        <v>3.3333333333333348</v>
      </c>
      <c r="AI249" s="185">
        <f t="shared" ca="1" si="123"/>
        <v>26.666666666666682</v>
      </c>
      <c r="AJ249" s="179" t="str">
        <f t="shared" ca="1" si="125"/>
        <v>Q2</v>
      </c>
      <c r="AK249" s="90" t="s">
        <v>329</v>
      </c>
      <c r="AL249" s="194"/>
      <c r="AM249" s="103"/>
      <c r="AN249" s="103"/>
      <c r="AO249" s="103"/>
      <c r="AP249" s="108"/>
      <c r="AQ249" s="299"/>
      <c r="AR249" s="295"/>
      <c r="AS249" s="164"/>
      <c r="AT249" s="164"/>
      <c r="AU249" s="320"/>
      <c r="AV249" s="324"/>
      <c r="AW249" s="89"/>
    </row>
    <row r="250" spans="1:49" ht="36" customHeight="1">
      <c r="A250" s="5">
        <v>339</v>
      </c>
      <c r="B250" s="229">
        <v>246</v>
      </c>
      <c r="C250" s="6" t="s">
        <v>6</v>
      </c>
      <c r="D250" s="133" t="s">
        <v>7</v>
      </c>
      <c r="E250" s="7" t="s">
        <v>294</v>
      </c>
      <c r="F250" s="9" t="s">
        <v>482</v>
      </c>
      <c r="G250" s="8"/>
      <c r="H250" s="213">
        <v>125000</v>
      </c>
      <c r="I250" s="51">
        <v>5</v>
      </c>
      <c r="J250" s="56">
        <v>0.5</v>
      </c>
      <c r="K250" s="50"/>
      <c r="L250" s="57"/>
      <c r="M250" s="62">
        <v>6.0000000000000036</v>
      </c>
      <c r="N250" s="63">
        <v>8.0000000000000053</v>
      </c>
      <c r="O250" s="63">
        <v>4.0000000000000027</v>
      </c>
      <c r="P250" s="63">
        <v>6.0000000000000036</v>
      </c>
      <c r="Q250" s="63">
        <v>4.0000000000000027</v>
      </c>
      <c r="R250" s="63">
        <v>6.0000000000000036</v>
      </c>
      <c r="S250" s="63">
        <v>2</v>
      </c>
      <c r="T250" s="64">
        <v>6.0000000000000036</v>
      </c>
      <c r="U250" s="67" t="e">
        <f t="shared" ca="1" si="109"/>
        <v>#DIV/0!</v>
      </c>
      <c r="V250" s="67">
        <f t="shared" ca="1" si="110"/>
        <v>0.5</v>
      </c>
      <c r="W250" s="69">
        <f t="shared" si="111"/>
        <v>0.94736842105263208</v>
      </c>
      <c r="X250" s="69">
        <f t="shared" si="112"/>
        <v>0.84210526315789525</v>
      </c>
      <c r="Y250" s="69">
        <f t="shared" si="113"/>
        <v>0.56140350877193024</v>
      </c>
      <c r="Z250" s="69">
        <f t="shared" si="114"/>
        <v>1.052631578947369</v>
      </c>
      <c r="AA250" s="69">
        <f t="shared" si="115"/>
        <v>0.3508771929824564</v>
      </c>
      <c r="AB250" s="69">
        <f t="shared" si="116"/>
        <v>0.73684210526315841</v>
      </c>
      <c r="AC250" s="69">
        <f t="shared" si="117"/>
        <v>0.21052631578947367</v>
      </c>
      <c r="AD250" s="70">
        <f t="shared" si="118"/>
        <v>0.63157894736842146</v>
      </c>
      <c r="AE250" s="71">
        <f t="shared" si="119"/>
        <v>0.5</v>
      </c>
      <c r="AF250" s="71">
        <f t="shared" ca="1" si="120"/>
        <v>0.5</v>
      </c>
      <c r="AG250" s="72">
        <f t="shared" ca="1" si="121"/>
        <v>0.5</v>
      </c>
      <c r="AH250" s="177">
        <f t="shared" si="122"/>
        <v>5.3333333333333366</v>
      </c>
      <c r="AI250" s="185">
        <f t="shared" ca="1" si="123"/>
        <v>26.666666666666682</v>
      </c>
      <c r="AJ250" s="179" t="str">
        <f t="shared" ca="1" si="125"/>
        <v>Q4</v>
      </c>
      <c r="AK250" s="90" t="s">
        <v>329</v>
      </c>
      <c r="AL250" s="194"/>
      <c r="AM250" s="103"/>
      <c r="AN250" s="103"/>
      <c r="AO250" s="103"/>
      <c r="AP250" s="108"/>
      <c r="AQ250" s="299"/>
      <c r="AR250" s="295"/>
      <c r="AS250" s="164"/>
      <c r="AT250" s="164"/>
      <c r="AU250" s="320"/>
      <c r="AV250" s="324"/>
      <c r="AW250" s="89"/>
    </row>
    <row r="251" spans="1:49" ht="36" customHeight="1">
      <c r="A251" s="5">
        <v>157</v>
      </c>
      <c r="B251" s="229">
        <v>247</v>
      </c>
      <c r="C251" s="6" t="s">
        <v>8</v>
      </c>
      <c r="D251" s="133" t="s">
        <v>7</v>
      </c>
      <c r="E251" s="18" t="s">
        <v>270</v>
      </c>
      <c r="F251" s="19" t="s">
        <v>548</v>
      </c>
      <c r="G251" s="20" t="s">
        <v>271</v>
      </c>
      <c r="H251" s="215">
        <v>86607</v>
      </c>
      <c r="I251" s="51">
        <v>3</v>
      </c>
      <c r="J251" s="56">
        <v>0</v>
      </c>
      <c r="K251" s="50"/>
      <c r="L251" s="57"/>
      <c r="M251" s="62">
        <v>4.0000000000000027</v>
      </c>
      <c r="N251" s="63">
        <v>4.0000000000000027</v>
      </c>
      <c r="O251" s="63">
        <v>1</v>
      </c>
      <c r="P251" s="63">
        <v>6.0000000000000036</v>
      </c>
      <c r="Q251" s="63">
        <v>6.0000000000000036</v>
      </c>
      <c r="R251" s="63">
        <v>1</v>
      </c>
      <c r="S251" s="63">
        <v>0</v>
      </c>
      <c r="T251" s="64">
        <v>4.0000000000000027</v>
      </c>
      <c r="U251" s="67" t="e">
        <f t="shared" ref="U251:U284" ca="1" si="126">(L251-(YEAR(TODAY())-K251))/L251</f>
        <v>#DIV/0!</v>
      </c>
      <c r="V251" s="67">
        <f t="shared" ref="V251:V284" ca="1" si="127">IFERROR(U251,J251)</f>
        <v>0</v>
      </c>
      <c r="W251" s="69">
        <f t="shared" ref="W251:W284" si="128">M251*Weight1/(WSum)</f>
        <v>0.63157894736842146</v>
      </c>
      <c r="X251" s="69">
        <f t="shared" ref="X251:X284" si="129">N251*Weight2/(WSum)</f>
        <v>0.42105263157894762</v>
      </c>
      <c r="Y251" s="69">
        <f t="shared" ref="Y251:Y284" si="130">O251*Weight3/(WSum)</f>
        <v>0.14035087719298245</v>
      </c>
      <c r="Z251" s="69">
        <f t="shared" ref="Z251:Z284" si="131">P251*Weight4/(WSum)</f>
        <v>1.052631578947369</v>
      </c>
      <c r="AA251" s="69">
        <f t="shared" ref="AA251:AA284" si="132">Q251*Weight5/(WSum)</f>
        <v>0.52631578947368451</v>
      </c>
      <c r="AB251" s="69">
        <f t="shared" ref="AB251:AB284" si="133">R251*Weight6/(WSum)</f>
        <v>0.12280701754385964</v>
      </c>
      <c r="AC251" s="69">
        <f t="shared" ref="AC251:AC284" si="134">S251*Weight7/(WSum)</f>
        <v>0</v>
      </c>
      <c r="AD251" s="70">
        <f t="shared" ref="AD251:AD284" si="135">T251*Weight8/(WSum)</f>
        <v>0.42105263157894762</v>
      </c>
      <c r="AE251" s="71">
        <f t="shared" ref="AE251:AE284" si="136">-1/10*I251+1</f>
        <v>0.7</v>
      </c>
      <c r="AF251" s="71">
        <f t="shared" ref="AF251:AF284" ca="1" si="137">IF(V251&lt;0,0,-V251+1)</f>
        <v>1</v>
      </c>
      <c r="AG251" s="72">
        <f t="shared" ref="AG251:AG284" ca="1" si="138">(AE251*CondWeight+AF251*PLifeWeight)/(CondWeight+PLifeWeight)</f>
        <v>0.79999999999999993</v>
      </c>
      <c r="AH251" s="177">
        <f t="shared" ref="AH251:AH284" si="139">SUM(W251:AD251)</f>
        <v>3.3157894736842124</v>
      </c>
      <c r="AI251" s="185">
        <f t="shared" ref="AI251:AI284" ca="1" si="140">AH251*AG251*10</f>
        <v>26.526315789473696</v>
      </c>
      <c r="AJ251" s="179" t="str">
        <f t="shared" ca="1" si="125"/>
        <v>Q2</v>
      </c>
      <c r="AK251" s="90" t="s">
        <v>329</v>
      </c>
      <c r="AL251" s="194"/>
      <c r="AM251" s="103"/>
      <c r="AN251" s="103"/>
      <c r="AO251" s="103"/>
      <c r="AP251" s="108"/>
      <c r="AQ251" s="299"/>
      <c r="AR251" s="295"/>
      <c r="AS251" s="164"/>
      <c r="AT251" s="164"/>
      <c r="AU251" s="320"/>
      <c r="AV251" s="324"/>
      <c r="AW251" s="89"/>
    </row>
    <row r="252" spans="1:49" ht="36" customHeight="1">
      <c r="A252" s="5">
        <v>330</v>
      </c>
      <c r="B252" s="229">
        <v>248</v>
      </c>
      <c r="C252" s="6" t="s">
        <v>8</v>
      </c>
      <c r="D252" s="133" t="s">
        <v>7</v>
      </c>
      <c r="E252" s="18" t="s">
        <v>737</v>
      </c>
      <c r="F252" s="20" t="s">
        <v>681</v>
      </c>
      <c r="G252" s="20" t="s">
        <v>298</v>
      </c>
      <c r="H252" s="215">
        <v>97000</v>
      </c>
      <c r="I252" s="51">
        <v>3</v>
      </c>
      <c r="J252" s="56">
        <v>0</v>
      </c>
      <c r="K252" s="50"/>
      <c r="L252" s="57"/>
      <c r="M252" s="62">
        <v>4.0000000000000027</v>
      </c>
      <c r="N252" s="63">
        <v>1</v>
      </c>
      <c r="O252" s="63">
        <v>6.0000000000000036</v>
      </c>
      <c r="P252" s="63">
        <v>1</v>
      </c>
      <c r="Q252" s="63">
        <v>8.0000000000000053</v>
      </c>
      <c r="R252" s="63">
        <v>1</v>
      </c>
      <c r="S252" s="63">
        <v>3</v>
      </c>
      <c r="T252" s="64">
        <v>4.0000000000000027</v>
      </c>
      <c r="U252" s="67" t="e">
        <f t="shared" ca="1" si="126"/>
        <v>#DIV/0!</v>
      </c>
      <c r="V252" s="67">
        <f t="shared" ca="1" si="127"/>
        <v>0</v>
      </c>
      <c r="W252" s="69">
        <f t="shared" si="128"/>
        <v>0.63157894736842146</v>
      </c>
      <c r="X252" s="69">
        <f t="shared" si="129"/>
        <v>0.10526315789473684</v>
      </c>
      <c r="Y252" s="69">
        <f t="shared" si="130"/>
        <v>0.84210526315789525</v>
      </c>
      <c r="Z252" s="69">
        <f t="shared" si="131"/>
        <v>0.17543859649122806</v>
      </c>
      <c r="AA252" s="69">
        <f t="shared" si="132"/>
        <v>0.7017543859649128</v>
      </c>
      <c r="AB252" s="69">
        <f t="shared" si="133"/>
        <v>0.12280701754385964</v>
      </c>
      <c r="AC252" s="69">
        <f t="shared" si="134"/>
        <v>0.31578947368421051</v>
      </c>
      <c r="AD252" s="70">
        <f t="shared" si="135"/>
        <v>0.42105263157894762</v>
      </c>
      <c r="AE252" s="71">
        <f t="shared" si="136"/>
        <v>0.7</v>
      </c>
      <c r="AF252" s="71">
        <f t="shared" ca="1" si="137"/>
        <v>1</v>
      </c>
      <c r="AG252" s="72">
        <f t="shared" ca="1" si="138"/>
        <v>0.79999999999999993</v>
      </c>
      <c r="AH252" s="177">
        <f t="shared" si="139"/>
        <v>3.3157894736842124</v>
      </c>
      <c r="AI252" s="185">
        <f t="shared" ca="1" si="140"/>
        <v>26.526315789473696</v>
      </c>
      <c r="AJ252" s="179" t="str">
        <f t="shared" ca="1" si="125"/>
        <v>Q2</v>
      </c>
      <c r="AK252" s="90" t="s">
        <v>329</v>
      </c>
      <c r="AL252" s="195"/>
      <c r="AM252" s="103"/>
      <c r="AN252" s="103"/>
      <c r="AO252" s="103"/>
      <c r="AP252" s="108"/>
      <c r="AQ252" s="299"/>
      <c r="AR252" s="295"/>
      <c r="AS252" s="164"/>
      <c r="AT252" s="164"/>
      <c r="AU252" s="320"/>
      <c r="AV252" s="324"/>
      <c r="AW252" s="89"/>
    </row>
    <row r="253" spans="1:49" ht="36" customHeight="1">
      <c r="A253" s="5">
        <v>331</v>
      </c>
      <c r="B253" s="229">
        <v>249</v>
      </c>
      <c r="C253" s="6" t="s">
        <v>42</v>
      </c>
      <c r="D253" s="133" t="s">
        <v>7</v>
      </c>
      <c r="E253" s="18" t="s">
        <v>105</v>
      </c>
      <c r="F253" s="20" t="s">
        <v>106</v>
      </c>
      <c r="G253" s="20" t="s">
        <v>107</v>
      </c>
      <c r="H253" s="215">
        <v>140000</v>
      </c>
      <c r="I253" s="51">
        <v>3</v>
      </c>
      <c r="J253" s="56">
        <v>0.1</v>
      </c>
      <c r="K253" s="50"/>
      <c r="L253" s="57"/>
      <c r="M253" s="62">
        <v>5</v>
      </c>
      <c r="N253" s="63">
        <v>1</v>
      </c>
      <c r="O253" s="63">
        <v>3</v>
      </c>
      <c r="P253" s="63">
        <v>4</v>
      </c>
      <c r="Q253" s="63">
        <v>4</v>
      </c>
      <c r="R253" s="63">
        <v>1</v>
      </c>
      <c r="S253" s="63">
        <v>3</v>
      </c>
      <c r="T253" s="64">
        <v>6.0000000000000036</v>
      </c>
      <c r="U253" s="67" t="e">
        <f t="shared" ca="1" si="126"/>
        <v>#DIV/0!</v>
      </c>
      <c r="V253" s="67">
        <f t="shared" ca="1" si="127"/>
        <v>0.1</v>
      </c>
      <c r="W253" s="69">
        <f t="shared" si="128"/>
        <v>0.78947368421052633</v>
      </c>
      <c r="X253" s="69">
        <f t="shared" si="129"/>
        <v>0.10526315789473684</v>
      </c>
      <c r="Y253" s="69">
        <f t="shared" si="130"/>
        <v>0.42105263157894735</v>
      </c>
      <c r="Z253" s="69">
        <f t="shared" si="131"/>
        <v>0.70175438596491224</v>
      </c>
      <c r="AA253" s="69">
        <f t="shared" si="132"/>
        <v>0.35087719298245612</v>
      </c>
      <c r="AB253" s="69">
        <f t="shared" si="133"/>
        <v>0.12280701754385964</v>
      </c>
      <c r="AC253" s="69">
        <f t="shared" si="134"/>
        <v>0.31578947368421051</v>
      </c>
      <c r="AD253" s="70">
        <f t="shared" si="135"/>
        <v>0.63157894736842146</v>
      </c>
      <c r="AE253" s="71">
        <f t="shared" si="136"/>
        <v>0.7</v>
      </c>
      <c r="AF253" s="71">
        <f t="shared" ca="1" si="137"/>
        <v>0.9</v>
      </c>
      <c r="AG253" s="72">
        <f t="shared" ca="1" si="138"/>
        <v>0.76666666666666661</v>
      </c>
      <c r="AH253" s="177">
        <f t="shared" si="139"/>
        <v>3.4385964912280702</v>
      </c>
      <c r="AI253" s="185">
        <f t="shared" ca="1" si="140"/>
        <v>26.362573099415201</v>
      </c>
      <c r="AJ253" s="179" t="str">
        <f t="shared" ca="1" si="125"/>
        <v>Q2</v>
      </c>
      <c r="AK253" s="90" t="s">
        <v>329</v>
      </c>
      <c r="AL253" s="194"/>
      <c r="AM253" s="103"/>
      <c r="AN253" s="103"/>
      <c r="AO253" s="103"/>
      <c r="AP253" s="108"/>
      <c r="AQ253" s="299"/>
      <c r="AR253" s="295"/>
      <c r="AS253" s="164"/>
      <c r="AT253" s="164"/>
      <c r="AU253" s="320"/>
      <c r="AV253" s="324"/>
      <c r="AW253" s="89"/>
    </row>
    <row r="254" spans="1:49" ht="36" customHeight="1">
      <c r="A254" s="5">
        <v>374</v>
      </c>
      <c r="B254" s="229">
        <v>250</v>
      </c>
      <c r="C254" s="6" t="s">
        <v>6</v>
      </c>
      <c r="D254" s="133" t="s">
        <v>7</v>
      </c>
      <c r="E254" s="7" t="s">
        <v>421</v>
      </c>
      <c r="F254" s="9" t="s">
        <v>482</v>
      </c>
      <c r="G254" s="8"/>
      <c r="H254" s="213">
        <v>75000</v>
      </c>
      <c r="I254" s="51">
        <v>5</v>
      </c>
      <c r="J254" s="56">
        <v>0.5</v>
      </c>
      <c r="K254" s="50"/>
      <c r="L254" s="57"/>
      <c r="M254" s="62">
        <v>6.0000000000000036</v>
      </c>
      <c r="N254" s="63">
        <v>8.0000000000000053</v>
      </c>
      <c r="O254" s="63">
        <v>4.0000000000000027</v>
      </c>
      <c r="P254" s="63">
        <v>6.0000000000000036</v>
      </c>
      <c r="Q254" s="63">
        <v>4.0000000000000027</v>
      </c>
      <c r="R254" s="63">
        <v>6.0000000000000036</v>
      </c>
      <c r="S254" s="63">
        <v>1</v>
      </c>
      <c r="T254" s="64">
        <v>6.0000000000000036</v>
      </c>
      <c r="U254" s="67" t="e">
        <f t="shared" ca="1" si="126"/>
        <v>#DIV/0!</v>
      </c>
      <c r="V254" s="67">
        <f t="shared" ca="1" si="127"/>
        <v>0.5</v>
      </c>
      <c r="W254" s="69">
        <f t="shared" si="128"/>
        <v>0.94736842105263208</v>
      </c>
      <c r="X254" s="69">
        <f t="shared" si="129"/>
        <v>0.84210526315789525</v>
      </c>
      <c r="Y254" s="69">
        <f t="shared" si="130"/>
        <v>0.56140350877193024</v>
      </c>
      <c r="Z254" s="69">
        <f t="shared" si="131"/>
        <v>1.052631578947369</v>
      </c>
      <c r="AA254" s="69">
        <f t="shared" si="132"/>
        <v>0.3508771929824564</v>
      </c>
      <c r="AB254" s="69">
        <f t="shared" si="133"/>
        <v>0.73684210526315841</v>
      </c>
      <c r="AC254" s="69">
        <f t="shared" si="134"/>
        <v>0.10526315789473684</v>
      </c>
      <c r="AD254" s="70">
        <f t="shared" si="135"/>
        <v>0.63157894736842146</v>
      </c>
      <c r="AE254" s="71">
        <f t="shared" si="136"/>
        <v>0.5</v>
      </c>
      <c r="AF254" s="71">
        <f t="shared" ca="1" si="137"/>
        <v>0.5</v>
      </c>
      <c r="AG254" s="72">
        <f t="shared" ca="1" si="138"/>
        <v>0.5</v>
      </c>
      <c r="AH254" s="177">
        <f t="shared" si="139"/>
        <v>5.2280701754386003</v>
      </c>
      <c r="AI254" s="185">
        <f t="shared" ca="1" si="140"/>
        <v>26.140350877193001</v>
      </c>
      <c r="AJ254" s="179" t="str">
        <f t="shared" ca="1" si="125"/>
        <v>Q4</v>
      </c>
      <c r="AK254" s="90" t="s">
        <v>329</v>
      </c>
      <c r="AL254" s="194"/>
      <c r="AM254" s="103"/>
      <c r="AN254" s="103"/>
      <c r="AO254" s="103"/>
      <c r="AP254" s="108"/>
      <c r="AQ254" s="299"/>
      <c r="AR254" s="295"/>
      <c r="AS254" s="164"/>
      <c r="AT254" s="164"/>
      <c r="AU254" s="320"/>
      <c r="AV254" s="324"/>
      <c r="AW254" s="89"/>
    </row>
    <row r="255" spans="1:49" ht="36" customHeight="1">
      <c r="A255" s="5">
        <v>237</v>
      </c>
      <c r="B255" s="229">
        <v>251</v>
      </c>
      <c r="C255" s="6" t="s">
        <v>6</v>
      </c>
      <c r="D255" s="133" t="s">
        <v>7</v>
      </c>
      <c r="E255" s="7" t="s">
        <v>291</v>
      </c>
      <c r="F255" s="9" t="s">
        <v>483</v>
      </c>
      <c r="G255" s="8"/>
      <c r="H255" s="213">
        <v>100000</v>
      </c>
      <c r="I255" s="51">
        <v>5</v>
      </c>
      <c r="J255" s="56">
        <v>0.5</v>
      </c>
      <c r="K255" s="50"/>
      <c r="L255" s="57"/>
      <c r="M255" s="62">
        <v>6.0000000000000036</v>
      </c>
      <c r="N255" s="63">
        <v>8.0000000000000053</v>
      </c>
      <c r="O255" s="63">
        <v>4.0000000000000027</v>
      </c>
      <c r="P255" s="63">
        <v>6.0000000000000036</v>
      </c>
      <c r="Q255" s="63">
        <v>4.0000000000000027</v>
      </c>
      <c r="R255" s="63">
        <v>6.0000000000000036</v>
      </c>
      <c r="S255" s="63">
        <v>1</v>
      </c>
      <c r="T255" s="64">
        <v>6.0000000000000036</v>
      </c>
      <c r="U255" s="67" t="e">
        <f t="shared" ca="1" si="126"/>
        <v>#DIV/0!</v>
      </c>
      <c r="V255" s="67">
        <f t="shared" ca="1" si="127"/>
        <v>0.5</v>
      </c>
      <c r="W255" s="69">
        <f t="shared" si="128"/>
        <v>0.94736842105263208</v>
      </c>
      <c r="X255" s="69">
        <f t="shared" si="129"/>
        <v>0.84210526315789525</v>
      </c>
      <c r="Y255" s="69">
        <f t="shared" si="130"/>
        <v>0.56140350877193024</v>
      </c>
      <c r="Z255" s="69">
        <f t="shared" si="131"/>
        <v>1.052631578947369</v>
      </c>
      <c r="AA255" s="69">
        <f t="shared" si="132"/>
        <v>0.3508771929824564</v>
      </c>
      <c r="AB255" s="69">
        <f t="shared" si="133"/>
        <v>0.73684210526315841</v>
      </c>
      <c r="AC255" s="69">
        <f t="shared" si="134"/>
        <v>0.10526315789473684</v>
      </c>
      <c r="AD255" s="70">
        <f t="shared" si="135"/>
        <v>0.63157894736842146</v>
      </c>
      <c r="AE255" s="71">
        <f t="shared" si="136"/>
        <v>0.5</v>
      </c>
      <c r="AF255" s="71">
        <f t="shared" ca="1" si="137"/>
        <v>0.5</v>
      </c>
      <c r="AG255" s="72">
        <f t="shared" ca="1" si="138"/>
        <v>0.5</v>
      </c>
      <c r="AH255" s="177">
        <f t="shared" si="139"/>
        <v>5.2280701754386003</v>
      </c>
      <c r="AI255" s="185">
        <f t="shared" ca="1" si="140"/>
        <v>26.140350877193001</v>
      </c>
      <c r="AJ255" s="179" t="str">
        <f t="shared" ca="1" si="125"/>
        <v>Q4</v>
      </c>
      <c r="AK255" s="90" t="s">
        <v>329</v>
      </c>
      <c r="AL255" s="101"/>
      <c r="AM255" s="269"/>
      <c r="AN255" s="103"/>
      <c r="AO255" s="103"/>
      <c r="AP255" s="108"/>
      <c r="AQ255" s="299"/>
      <c r="AR255" s="165"/>
      <c r="AS255" s="164"/>
      <c r="AT255" s="164"/>
      <c r="AU255" s="320"/>
      <c r="AV255" s="324"/>
      <c r="AW255" s="89"/>
    </row>
    <row r="256" spans="1:49" ht="36" customHeight="1">
      <c r="A256" s="5">
        <v>288</v>
      </c>
      <c r="B256" s="229">
        <v>252</v>
      </c>
      <c r="C256" s="6" t="s">
        <v>6</v>
      </c>
      <c r="D256" s="133" t="s">
        <v>7</v>
      </c>
      <c r="E256" s="7" t="s">
        <v>318</v>
      </c>
      <c r="F256" s="9" t="s">
        <v>484</v>
      </c>
      <c r="G256" s="8"/>
      <c r="H256" s="213">
        <v>100000</v>
      </c>
      <c r="I256" s="51">
        <v>5</v>
      </c>
      <c r="J256" s="56">
        <v>0.5</v>
      </c>
      <c r="K256" s="50"/>
      <c r="L256" s="57"/>
      <c r="M256" s="62">
        <v>6.0000000000000036</v>
      </c>
      <c r="N256" s="63">
        <v>8.0000000000000053</v>
      </c>
      <c r="O256" s="63">
        <v>4.0000000000000027</v>
      </c>
      <c r="P256" s="63">
        <v>6.0000000000000036</v>
      </c>
      <c r="Q256" s="63">
        <v>4.0000000000000027</v>
      </c>
      <c r="R256" s="63">
        <v>6.0000000000000036</v>
      </c>
      <c r="S256" s="63">
        <v>1</v>
      </c>
      <c r="T256" s="64">
        <v>6.0000000000000036</v>
      </c>
      <c r="U256" s="67" t="e">
        <f t="shared" ca="1" si="126"/>
        <v>#DIV/0!</v>
      </c>
      <c r="V256" s="67">
        <f t="shared" ca="1" si="127"/>
        <v>0.5</v>
      </c>
      <c r="W256" s="69">
        <f t="shared" si="128"/>
        <v>0.94736842105263208</v>
      </c>
      <c r="X256" s="69">
        <f t="shared" si="129"/>
        <v>0.84210526315789525</v>
      </c>
      <c r="Y256" s="69">
        <f t="shared" si="130"/>
        <v>0.56140350877193024</v>
      </c>
      <c r="Z256" s="69">
        <f t="shared" si="131"/>
        <v>1.052631578947369</v>
      </c>
      <c r="AA256" s="69">
        <f t="shared" si="132"/>
        <v>0.3508771929824564</v>
      </c>
      <c r="AB256" s="69">
        <f t="shared" si="133"/>
        <v>0.73684210526315841</v>
      </c>
      <c r="AC256" s="69">
        <f t="shared" si="134"/>
        <v>0.10526315789473684</v>
      </c>
      <c r="AD256" s="70">
        <f t="shared" si="135"/>
        <v>0.63157894736842146</v>
      </c>
      <c r="AE256" s="71">
        <f t="shared" si="136"/>
        <v>0.5</v>
      </c>
      <c r="AF256" s="71">
        <f t="shared" ca="1" si="137"/>
        <v>0.5</v>
      </c>
      <c r="AG256" s="72">
        <f t="shared" ca="1" si="138"/>
        <v>0.5</v>
      </c>
      <c r="AH256" s="177">
        <f t="shared" si="139"/>
        <v>5.2280701754386003</v>
      </c>
      <c r="AI256" s="185">
        <f t="shared" ca="1" si="140"/>
        <v>26.140350877193001</v>
      </c>
      <c r="AJ256" s="179" t="str">
        <f t="shared" ca="1" si="125"/>
        <v>Q4</v>
      </c>
      <c r="AK256" s="90" t="s">
        <v>329</v>
      </c>
      <c r="AL256" s="195"/>
      <c r="AM256" s="103"/>
      <c r="AN256" s="103"/>
      <c r="AO256" s="103"/>
      <c r="AP256" s="108"/>
      <c r="AQ256" s="299"/>
      <c r="AR256" s="295"/>
      <c r="AS256" s="164"/>
      <c r="AT256" s="164"/>
      <c r="AU256" s="320"/>
      <c r="AV256" s="324"/>
      <c r="AW256" s="89"/>
    </row>
    <row r="257" spans="1:49" ht="36" customHeight="1">
      <c r="A257" s="5">
        <v>355</v>
      </c>
      <c r="B257" s="229">
        <v>253</v>
      </c>
      <c r="C257" s="6" t="s">
        <v>18</v>
      </c>
      <c r="D257" s="133" t="s">
        <v>383</v>
      </c>
      <c r="E257" s="12" t="s">
        <v>188</v>
      </c>
      <c r="F257" s="22" t="s">
        <v>189</v>
      </c>
      <c r="G257" s="102" t="s">
        <v>63</v>
      </c>
      <c r="H257" s="213">
        <v>120000</v>
      </c>
      <c r="I257" s="50">
        <v>4</v>
      </c>
      <c r="J257" s="56">
        <v>0.3</v>
      </c>
      <c r="K257" s="50"/>
      <c r="L257" s="57"/>
      <c r="M257" s="62">
        <v>4</v>
      </c>
      <c r="N257" s="63">
        <v>8.0000000000000053</v>
      </c>
      <c r="O257" s="63">
        <v>1</v>
      </c>
      <c r="P257" s="63">
        <v>4</v>
      </c>
      <c r="Q257" s="63">
        <v>1</v>
      </c>
      <c r="R257" s="63">
        <v>7.0000000000000044</v>
      </c>
      <c r="S257" s="63">
        <v>0</v>
      </c>
      <c r="T257" s="64">
        <v>8.0000000000000053</v>
      </c>
      <c r="U257" s="67" t="e">
        <f t="shared" ca="1" si="126"/>
        <v>#DIV/0!</v>
      </c>
      <c r="V257" s="67">
        <f t="shared" ca="1" si="127"/>
        <v>0.3</v>
      </c>
      <c r="W257" s="69">
        <f t="shared" si="128"/>
        <v>0.63157894736842102</v>
      </c>
      <c r="X257" s="69">
        <f t="shared" si="129"/>
        <v>0.84210526315789525</v>
      </c>
      <c r="Y257" s="69">
        <f t="shared" si="130"/>
        <v>0.14035087719298245</v>
      </c>
      <c r="Z257" s="69">
        <f t="shared" si="131"/>
        <v>0.70175438596491224</v>
      </c>
      <c r="AA257" s="69">
        <f t="shared" si="132"/>
        <v>8.771929824561403E-2</v>
      </c>
      <c r="AB257" s="69">
        <f t="shared" si="133"/>
        <v>0.859649122807018</v>
      </c>
      <c r="AC257" s="69">
        <f t="shared" si="134"/>
        <v>0</v>
      </c>
      <c r="AD257" s="70">
        <f t="shared" si="135"/>
        <v>0.84210526315789525</v>
      </c>
      <c r="AE257" s="71">
        <f t="shared" si="136"/>
        <v>0.6</v>
      </c>
      <c r="AF257" s="71">
        <f t="shared" ca="1" si="137"/>
        <v>0.7</v>
      </c>
      <c r="AG257" s="72">
        <f t="shared" ca="1" si="138"/>
        <v>0.6333333333333333</v>
      </c>
      <c r="AH257" s="177">
        <f t="shared" si="139"/>
        <v>4.1052631578947381</v>
      </c>
      <c r="AI257" s="185">
        <f t="shared" ca="1" si="140"/>
        <v>26.000000000000007</v>
      </c>
      <c r="AJ257" s="179" t="str">
        <f t="shared" ca="1" si="125"/>
        <v>Q4</v>
      </c>
      <c r="AK257" s="88" t="s">
        <v>329</v>
      </c>
      <c r="AL257" s="193"/>
      <c r="AM257" s="103"/>
      <c r="AN257" s="103"/>
      <c r="AO257" s="103"/>
      <c r="AP257" s="108"/>
      <c r="AQ257" s="299"/>
      <c r="AR257" s="295"/>
      <c r="AS257" s="164"/>
      <c r="AT257" s="164"/>
      <c r="AU257" s="320"/>
      <c r="AV257" s="324"/>
      <c r="AW257" s="89"/>
    </row>
    <row r="258" spans="1:49" ht="36" customHeight="1">
      <c r="A258" s="5">
        <v>320</v>
      </c>
      <c r="B258" s="229">
        <v>254</v>
      </c>
      <c r="C258" s="6" t="s">
        <v>20</v>
      </c>
      <c r="D258" s="133" t="s">
        <v>7</v>
      </c>
      <c r="E258" s="18" t="s">
        <v>239</v>
      </c>
      <c r="F258" s="20" t="s">
        <v>240</v>
      </c>
      <c r="G258" s="20" t="s">
        <v>241</v>
      </c>
      <c r="H258" s="215">
        <v>85000</v>
      </c>
      <c r="I258" s="51">
        <v>2</v>
      </c>
      <c r="J258" s="56">
        <v>0.4</v>
      </c>
      <c r="K258" s="50"/>
      <c r="L258" s="57"/>
      <c r="M258" s="62">
        <v>1</v>
      </c>
      <c r="N258" s="63">
        <v>4.0000000000000027</v>
      </c>
      <c r="O258" s="63">
        <v>1</v>
      </c>
      <c r="P258" s="63">
        <v>8.0000000000000053</v>
      </c>
      <c r="Q258" s="63">
        <v>1</v>
      </c>
      <c r="R258" s="63">
        <v>4.0000000000000027</v>
      </c>
      <c r="S258" s="63">
        <v>0</v>
      </c>
      <c r="T258" s="64">
        <v>8.0000000000000053</v>
      </c>
      <c r="U258" s="67" t="e">
        <f t="shared" ca="1" si="126"/>
        <v>#DIV/0!</v>
      </c>
      <c r="V258" s="67">
        <f t="shared" ca="1" si="127"/>
        <v>0.4</v>
      </c>
      <c r="W258" s="69">
        <f t="shared" si="128"/>
        <v>0.15789473684210525</v>
      </c>
      <c r="X258" s="69">
        <f t="shared" si="129"/>
        <v>0.42105263157894762</v>
      </c>
      <c r="Y258" s="69">
        <f t="shared" si="130"/>
        <v>0.14035087719298245</v>
      </c>
      <c r="Z258" s="69">
        <f t="shared" si="131"/>
        <v>1.4035087719298256</v>
      </c>
      <c r="AA258" s="69">
        <f t="shared" si="132"/>
        <v>8.771929824561403E-2</v>
      </c>
      <c r="AB258" s="69">
        <f t="shared" si="133"/>
        <v>0.4912280701754389</v>
      </c>
      <c r="AC258" s="69">
        <f t="shared" si="134"/>
        <v>0</v>
      </c>
      <c r="AD258" s="70">
        <f t="shared" si="135"/>
        <v>0.84210526315789525</v>
      </c>
      <c r="AE258" s="71">
        <f t="shared" si="136"/>
        <v>0.8</v>
      </c>
      <c r="AF258" s="71">
        <f t="shared" ca="1" si="137"/>
        <v>0.6</v>
      </c>
      <c r="AG258" s="72">
        <f t="shared" ca="1" si="138"/>
        <v>0.73333333333333339</v>
      </c>
      <c r="AH258" s="177">
        <f t="shared" si="139"/>
        <v>3.5438596491228087</v>
      </c>
      <c r="AI258" s="185">
        <f t="shared" ca="1" si="140"/>
        <v>25.988304093567265</v>
      </c>
      <c r="AJ258" s="179" t="str">
        <f t="shared" ca="1" si="125"/>
        <v>Q4</v>
      </c>
      <c r="AK258" s="90" t="s">
        <v>329</v>
      </c>
      <c r="AL258" s="194"/>
      <c r="AM258" s="103"/>
      <c r="AN258" s="103"/>
      <c r="AO258" s="103"/>
      <c r="AP258" s="108"/>
      <c r="AQ258" s="299"/>
      <c r="AR258" s="295"/>
      <c r="AS258" s="164"/>
      <c r="AT258" s="164"/>
      <c r="AU258" s="320"/>
      <c r="AV258" s="324"/>
      <c r="AW258" s="89"/>
    </row>
    <row r="259" spans="1:49" ht="36" customHeight="1">
      <c r="A259" s="5">
        <v>352</v>
      </c>
      <c r="B259" s="229">
        <v>255</v>
      </c>
      <c r="C259" s="6" t="s">
        <v>6</v>
      </c>
      <c r="D259" s="133" t="s">
        <v>7</v>
      </c>
      <c r="E259" s="7" t="s">
        <v>309</v>
      </c>
      <c r="F259" s="9" t="s">
        <v>557</v>
      </c>
      <c r="G259" s="8"/>
      <c r="H259" s="213">
        <v>125000</v>
      </c>
      <c r="I259" s="50">
        <v>5</v>
      </c>
      <c r="J259" s="56">
        <v>0.5</v>
      </c>
      <c r="K259" s="50"/>
      <c r="L259" s="57"/>
      <c r="M259" s="62">
        <v>6.0000000000000036</v>
      </c>
      <c r="N259" s="63">
        <v>6.0000000000000036</v>
      </c>
      <c r="O259" s="63">
        <v>4.0000000000000027</v>
      </c>
      <c r="P259" s="63">
        <v>6.0000000000000036</v>
      </c>
      <c r="Q259" s="63">
        <v>6.0000000000000036</v>
      </c>
      <c r="R259" s="63">
        <v>6.0000000000000036</v>
      </c>
      <c r="S259" s="63">
        <v>1</v>
      </c>
      <c r="T259" s="64">
        <v>6.0000000000000036</v>
      </c>
      <c r="U259" s="67" t="e">
        <f t="shared" ca="1" si="126"/>
        <v>#DIV/0!</v>
      </c>
      <c r="V259" s="67">
        <f t="shared" ca="1" si="127"/>
        <v>0.5</v>
      </c>
      <c r="W259" s="69">
        <f t="shared" si="128"/>
        <v>0.94736842105263208</v>
      </c>
      <c r="X259" s="69">
        <f t="shared" si="129"/>
        <v>0.63157894736842146</v>
      </c>
      <c r="Y259" s="69">
        <f t="shared" si="130"/>
        <v>0.56140350877193024</v>
      </c>
      <c r="Z259" s="69">
        <f t="shared" si="131"/>
        <v>1.052631578947369</v>
      </c>
      <c r="AA259" s="69">
        <f t="shared" si="132"/>
        <v>0.52631578947368451</v>
      </c>
      <c r="AB259" s="69">
        <f t="shared" si="133"/>
        <v>0.73684210526315841</v>
      </c>
      <c r="AC259" s="69">
        <f t="shared" si="134"/>
        <v>0.10526315789473684</v>
      </c>
      <c r="AD259" s="70">
        <f t="shared" si="135"/>
        <v>0.63157894736842146</v>
      </c>
      <c r="AE259" s="71">
        <f t="shared" si="136"/>
        <v>0.5</v>
      </c>
      <c r="AF259" s="71">
        <f t="shared" ca="1" si="137"/>
        <v>0.5</v>
      </c>
      <c r="AG259" s="72">
        <f t="shared" ca="1" si="138"/>
        <v>0.5</v>
      </c>
      <c r="AH259" s="177">
        <f t="shared" si="139"/>
        <v>5.1929824561403537</v>
      </c>
      <c r="AI259" s="185">
        <f t="shared" ca="1" si="140"/>
        <v>25.964912280701768</v>
      </c>
      <c r="AJ259" s="179" t="str">
        <f t="shared" ca="1" si="125"/>
        <v>Q4</v>
      </c>
      <c r="AK259" s="88" t="s">
        <v>329</v>
      </c>
      <c r="AL259" s="193"/>
      <c r="AM259" s="103"/>
      <c r="AN259" s="103"/>
      <c r="AO259" s="103"/>
      <c r="AP259" s="108"/>
      <c r="AQ259" s="299"/>
      <c r="AR259" s="295"/>
      <c r="AS259" s="164"/>
      <c r="AT259" s="164"/>
      <c r="AU259" s="320"/>
      <c r="AV259" s="324"/>
      <c r="AW259" s="89"/>
    </row>
    <row r="260" spans="1:49" ht="36" customHeight="1">
      <c r="A260" s="5"/>
      <c r="B260" s="229">
        <v>256</v>
      </c>
      <c r="C260" s="6" t="s">
        <v>8</v>
      </c>
      <c r="D260" s="133" t="s">
        <v>7</v>
      </c>
      <c r="E260" s="7" t="s">
        <v>611</v>
      </c>
      <c r="F260" s="8" t="s">
        <v>609</v>
      </c>
      <c r="G260" s="8" t="s">
        <v>278</v>
      </c>
      <c r="H260" s="260">
        <v>200000</v>
      </c>
      <c r="I260" s="142">
        <v>2</v>
      </c>
      <c r="J260" s="139">
        <v>0</v>
      </c>
      <c r="K260" s="138"/>
      <c r="L260" s="140"/>
      <c r="M260" s="62">
        <v>2</v>
      </c>
      <c r="N260" s="63">
        <v>4.0000000000000027</v>
      </c>
      <c r="O260" s="63">
        <v>1</v>
      </c>
      <c r="P260" s="63">
        <v>6.0000000000000036</v>
      </c>
      <c r="Q260" s="63">
        <v>4.0000000000000027</v>
      </c>
      <c r="R260" s="63">
        <v>4.0000000000000027</v>
      </c>
      <c r="S260" s="63">
        <v>1</v>
      </c>
      <c r="T260" s="64">
        <v>1</v>
      </c>
      <c r="U260" s="67" t="e">
        <f t="shared" ca="1" si="126"/>
        <v>#DIV/0!</v>
      </c>
      <c r="V260" s="67">
        <f t="shared" ca="1" si="127"/>
        <v>0</v>
      </c>
      <c r="W260" s="69">
        <f t="shared" si="128"/>
        <v>0.31578947368421051</v>
      </c>
      <c r="X260" s="69">
        <f t="shared" si="129"/>
        <v>0.42105263157894762</v>
      </c>
      <c r="Y260" s="69">
        <f t="shared" si="130"/>
        <v>0.14035087719298245</v>
      </c>
      <c r="Z260" s="69">
        <f t="shared" si="131"/>
        <v>1.052631578947369</v>
      </c>
      <c r="AA260" s="69">
        <f t="shared" si="132"/>
        <v>0.3508771929824564</v>
      </c>
      <c r="AB260" s="69">
        <f t="shared" si="133"/>
        <v>0.4912280701754389</v>
      </c>
      <c r="AC260" s="69">
        <f t="shared" si="134"/>
        <v>0.10526315789473684</v>
      </c>
      <c r="AD260" s="70">
        <f t="shared" si="135"/>
        <v>0.10526315789473684</v>
      </c>
      <c r="AE260" s="71">
        <f t="shared" si="136"/>
        <v>0.8</v>
      </c>
      <c r="AF260" s="71">
        <f t="shared" ca="1" si="137"/>
        <v>1</v>
      </c>
      <c r="AG260" s="72">
        <f t="shared" ca="1" si="138"/>
        <v>0.8666666666666667</v>
      </c>
      <c r="AH260" s="177">
        <f t="shared" si="139"/>
        <v>2.9824561403508785</v>
      </c>
      <c r="AI260" s="185">
        <f t="shared" ca="1" si="140"/>
        <v>25.847953216374279</v>
      </c>
      <c r="AJ260" s="179" t="str">
        <f t="shared" ca="1" si="125"/>
        <v>Q2</v>
      </c>
      <c r="AK260" s="90" t="s">
        <v>338</v>
      </c>
      <c r="AL260" s="195"/>
      <c r="AM260" s="107"/>
      <c r="AN260" s="107"/>
      <c r="AO260" s="107"/>
      <c r="AP260" s="107"/>
      <c r="AQ260" s="303"/>
      <c r="AR260" s="296"/>
      <c r="AS260" s="166"/>
      <c r="AT260" s="166"/>
      <c r="AU260" s="322"/>
      <c r="AV260" s="324"/>
      <c r="AW260" s="89"/>
    </row>
    <row r="261" spans="1:49" ht="36" customHeight="1">
      <c r="A261" s="5">
        <v>316</v>
      </c>
      <c r="B261" s="229">
        <v>257</v>
      </c>
      <c r="C261" s="6" t="s">
        <v>6</v>
      </c>
      <c r="D261" s="133" t="s">
        <v>7</v>
      </c>
      <c r="E261" s="7" t="s">
        <v>308</v>
      </c>
      <c r="F261" s="9" t="s">
        <v>485</v>
      </c>
      <c r="G261" s="8"/>
      <c r="H261" s="213">
        <v>300000</v>
      </c>
      <c r="I261" s="50">
        <v>5</v>
      </c>
      <c r="J261" s="56">
        <v>0.4</v>
      </c>
      <c r="K261" s="50"/>
      <c r="L261" s="57"/>
      <c r="M261" s="62">
        <v>6.0000000000000036</v>
      </c>
      <c r="N261" s="63">
        <v>6.0000000000000036</v>
      </c>
      <c r="O261" s="63">
        <v>4.0000000000000027</v>
      </c>
      <c r="P261" s="63">
        <v>4.0000000000000027</v>
      </c>
      <c r="Q261" s="63">
        <v>1</v>
      </c>
      <c r="R261" s="63">
        <v>6.0000000000000036</v>
      </c>
      <c r="S261" s="63">
        <v>5</v>
      </c>
      <c r="T261" s="64">
        <v>6.0000000000000036</v>
      </c>
      <c r="U261" s="67" t="e">
        <f t="shared" ca="1" si="126"/>
        <v>#DIV/0!</v>
      </c>
      <c r="V261" s="67">
        <f t="shared" ca="1" si="127"/>
        <v>0.4</v>
      </c>
      <c r="W261" s="69">
        <f t="shared" si="128"/>
        <v>0.94736842105263208</v>
      </c>
      <c r="X261" s="69">
        <f t="shared" si="129"/>
        <v>0.63157894736842146</v>
      </c>
      <c r="Y261" s="69">
        <f t="shared" si="130"/>
        <v>0.56140350877193024</v>
      </c>
      <c r="Z261" s="69">
        <f t="shared" si="131"/>
        <v>0.7017543859649128</v>
      </c>
      <c r="AA261" s="69">
        <f t="shared" si="132"/>
        <v>8.771929824561403E-2</v>
      </c>
      <c r="AB261" s="69">
        <f t="shared" si="133"/>
        <v>0.73684210526315841</v>
      </c>
      <c r="AC261" s="69">
        <f t="shared" si="134"/>
        <v>0.52631578947368418</v>
      </c>
      <c r="AD261" s="70">
        <f t="shared" si="135"/>
        <v>0.63157894736842146</v>
      </c>
      <c r="AE261" s="71">
        <f t="shared" si="136"/>
        <v>0.5</v>
      </c>
      <c r="AF261" s="71">
        <f t="shared" ca="1" si="137"/>
        <v>0.6</v>
      </c>
      <c r="AG261" s="72">
        <f t="shared" ca="1" si="138"/>
        <v>0.53333333333333333</v>
      </c>
      <c r="AH261" s="177">
        <f t="shared" si="139"/>
        <v>4.824561403508774</v>
      </c>
      <c r="AI261" s="185">
        <f t="shared" ca="1" si="140"/>
        <v>25.730994152046797</v>
      </c>
      <c r="AJ261" s="179" t="str">
        <f t="shared" ca="1" si="125"/>
        <v>Q4</v>
      </c>
      <c r="AK261" s="88" t="s">
        <v>329</v>
      </c>
      <c r="AL261" s="193"/>
      <c r="AM261" s="103"/>
      <c r="AN261" s="103"/>
      <c r="AO261" s="103"/>
      <c r="AP261" s="108"/>
      <c r="AQ261" s="299"/>
      <c r="AR261" s="295"/>
      <c r="AS261" s="164"/>
      <c r="AT261" s="164"/>
      <c r="AU261" s="320"/>
      <c r="AV261" s="324"/>
      <c r="AW261" s="89"/>
    </row>
    <row r="262" spans="1:49" ht="36" customHeight="1">
      <c r="A262" s="5">
        <v>353</v>
      </c>
      <c r="B262" s="229">
        <v>258</v>
      </c>
      <c r="C262" s="6" t="s">
        <v>14</v>
      </c>
      <c r="D262" s="133" t="s">
        <v>7</v>
      </c>
      <c r="E262" s="18" t="s">
        <v>738</v>
      </c>
      <c r="F262" s="19" t="s">
        <v>273</v>
      </c>
      <c r="G262" s="20" t="s">
        <v>274</v>
      </c>
      <c r="H262" s="215">
        <v>240000</v>
      </c>
      <c r="I262" s="51">
        <v>3</v>
      </c>
      <c r="J262" s="56">
        <v>0.3</v>
      </c>
      <c r="K262" s="50"/>
      <c r="L262" s="57"/>
      <c r="M262" s="62">
        <v>4.0000000000000027</v>
      </c>
      <c r="N262" s="63">
        <v>4.0000000000000027</v>
      </c>
      <c r="O262" s="63">
        <v>1</v>
      </c>
      <c r="P262" s="63">
        <v>6.0000000000000036</v>
      </c>
      <c r="Q262" s="63">
        <v>1</v>
      </c>
      <c r="R262" s="63">
        <v>4.0000000000000027</v>
      </c>
      <c r="S262" s="63">
        <v>0</v>
      </c>
      <c r="T262" s="64">
        <v>8.0000000000000053</v>
      </c>
      <c r="U262" s="67" t="e">
        <f t="shared" ca="1" si="126"/>
        <v>#DIV/0!</v>
      </c>
      <c r="V262" s="67">
        <f t="shared" ca="1" si="127"/>
        <v>0.3</v>
      </c>
      <c r="W262" s="69">
        <f t="shared" si="128"/>
        <v>0.63157894736842146</v>
      </c>
      <c r="X262" s="69">
        <f t="shared" si="129"/>
        <v>0.42105263157894762</v>
      </c>
      <c r="Y262" s="69">
        <f t="shared" si="130"/>
        <v>0.14035087719298245</v>
      </c>
      <c r="Z262" s="69">
        <f t="shared" si="131"/>
        <v>1.052631578947369</v>
      </c>
      <c r="AA262" s="69">
        <f t="shared" si="132"/>
        <v>8.771929824561403E-2</v>
      </c>
      <c r="AB262" s="69">
        <f t="shared" si="133"/>
        <v>0.4912280701754389</v>
      </c>
      <c r="AC262" s="69">
        <f t="shared" si="134"/>
        <v>0</v>
      </c>
      <c r="AD262" s="70">
        <f t="shared" si="135"/>
        <v>0.84210526315789525</v>
      </c>
      <c r="AE262" s="71">
        <f t="shared" si="136"/>
        <v>0.7</v>
      </c>
      <c r="AF262" s="71">
        <f t="shared" ca="1" si="137"/>
        <v>0.7</v>
      </c>
      <c r="AG262" s="72">
        <f t="shared" ca="1" si="138"/>
        <v>0.69999999999999984</v>
      </c>
      <c r="AH262" s="177">
        <f t="shared" si="139"/>
        <v>3.6666666666666683</v>
      </c>
      <c r="AI262" s="185">
        <f t="shared" ca="1" si="140"/>
        <v>25.666666666666671</v>
      </c>
      <c r="AJ262" s="179" t="str">
        <f t="shared" ca="1" si="125"/>
        <v>Q4</v>
      </c>
      <c r="AK262" s="90" t="s">
        <v>342</v>
      </c>
      <c r="AL262" s="194"/>
      <c r="AM262" s="103"/>
      <c r="AN262" s="103"/>
      <c r="AO262" s="103"/>
      <c r="AP262" s="108"/>
      <c r="AQ262" s="299"/>
      <c r="AR262" s="295"/>
      <c r="AS262" s="164"/>
      <c r="AT262" s="164"/>
      <c r="AU262" s="320"/>
      <c r="AV262" s="324"/>
      <c r="AW262" s="89"/>
    </row>
    <row r="263" spans="1:49" ht="36" customHeight="1">
      <c r="A263" s="5">
        <v>137</v>
      </c>
      <c r="B263" s="229">
        <v>259</v>
      </c>
      <c r="C263" s="6" t="s">
        <v>6</v>
      </c>
      <c r="D263" s="133" t="s">
        <v>7</v>
      </c>
      <c r="E263" s="7" t="s">
        <v>387</v>
      </c>
      <c r="F263" s="9" t="s">
        <v>486</v>
      </c>
      <c r="G263" s="8"/>
      <c r="H263" s="213">
        <v>425000</v>
      </c>
      <c r="I263" s="50">
        <v>5</v>
      </c>
      <c r="J263" s="56">
        <v>0.4</v>
      </c>
      <c r="K263" s="50"/>
      <c r="L263" s="57"/>
      <c r="M263" s="62">
        <v>4.0000000000000027</v>
      </c>
      <c r="N263" s="63">
        <v>6.0000000000000036</v>
      </c>
      <c r="O263" s="63">
        <v>6.0000000000000036</v>
      </c>
      <c r="P263" s="63">
        <v>4.0000000000000027</v>
      </c>
      <c r="Q263" s="63">
        <v>4.0000000000000027</v>
      </c>
      <c r="R263" s="63">
        <v>4.0000000000000027</v>
      </c>
      <c r="S263" s="63">
        <v>5</v>
      </c>
      <c r="T263" s="64">
        <v>6.0000000000000036</v>
      </c>
      <c r="U263" s="67" t="e">
        <f t="shared" ca="1" si="126"/>
        <v>#DIV/0!</v>
      </c>
      <c r="V263" s="67">
        <f t="shared" ca="1" si="127"/>
        <v>0.4</v>
      </c>
      <c r="W263" s="69">
        <f t="shared" si="128"/>
        <v>0.63157894736842146</v>
      </c>
      <c r="X263" s="69">
        <f t="shared" si="129"/>
        <v>0.63157894736842146</v>
      </c>
      <c r="Y263" s="69">
        <f t="shared" si="130"/>
        <v>0.84210526315789525</v>
      </c>
      <c r="Z263" s="69">
        <f t="shared" si="131"/>
        <v>0.7017543859649128</v>
      </c>
      <c r="AA263" s="69">
        <f t="shared" si="132"/>
        <v>0.3508771929824564</v>
      </c>
      <c r="AB263" s="69">
        <f t="shared" si="133"/>
        <v>0.4912280701754389</v>
      </c>
      <c r="AC263" s="69">
        <f t="shared" si="134"/>
        <v>0.52631578947368418</v>
      </c>
      <c r="AD263" s="70">
        <f t="shared" si="135"/>
        <v>0.63157894736842146</v>
      </c>
      <c r="AE263" s="71">
        <f t="shared" si="136"/>
        <v>0.5</v>
      </c>
      <c r="AF263" s="71">
        <f t="shared" ca="1" si="137"/>
        <v>0.6</v>
      </c>
      <c r="AG263" s="72">
        <f t="shared" ca="1" si="138"/>
        <v>0.53333333333333333</v>
      </c>
      <c r="AH263" s="177">
        <f t="shared" si="139"/>
        <v>4.8070175438596516</v>
      </c>
      <c r="AI263" s="185">
        <f t="shared" ca="1" si="140"/>
        <v>25.63742690058481</v>
      </c>
      <c r="AJ263" s="179" t="str">
        <f t="shared" ca="1" si="125"/>
        <v>Q4</v>
      </c>
      <c r="AK263" s="88" t="s">
        <v>329</v>
      </c>
      <c r="AL263" s="193"/>
      <c r="AM263" s="103"/>
      <c r="AN263" s="103"/>
      <c r="AO263" s="103"/>
      <c r="AP263" s="108"/>
      <c r="AQ263" s="299"/>
      <c r="AR263" s="295"/>
      <c r="AS263" s="164"/>
      <c r="AT263" s="164"/>
      <c r="AU263" s="320"/>
      <c r="AV263" s="324"/>
      <c r="AW263" s="89"/>
    </row>
    <row r="264" spans="1:49" ht="36" customHeight="1">
      <c r="A264" s="5">
        <v>317</v>
      </c>
      <c r="B264" s="229">
        <v>260</v>
      </c>
      <c r="C264" s="6" t="s">
        <v>8</v>
      </c>
      <c r="D264" s="133" t="s">
        <v>7</v>
      </c>
      <c r="E264" s="18" t="s">
        <v>87</v>
      </c>
      <c r="F264" s="19" t="s">
        <v>575</v>
      </c>
      <c r="G264" s="20" t="s">
        <v>88</v>
      </c>
      <c r="H264" s="215">
        <v>127350</v>
      </c>
      <c r="I264" s="51">
        <v>3</v>
      </c>
      <c r="J264" s="56">
        <v>0.3</v>
      </c>
      <c r="K264" s="50"/>
      <c r="L264" s="57"/>
      <c r="M264" s="62">
        <v>4</v>
      </c>
      <c r="N264" s="63">
        <v>5</v>
      </c>
      <c r="O264" s="63">
        <v>4.0000000000000027</v>
      </c>
      <c r="P264" s="63">
        <v>4</v>
      </c>
      <c r="Q264" s="63">
        <v>0</v>
      </c>
      <c r="R264" s="63">
        <v>4</v>
      </c>
      <c r="S264" s="63">
        <v>0</v>
      </c>
      <c r="T264" s="64">
        <v>7</v>
      </c>
      <c r="U264" s="67" t="e">
        <f t="shared" ca="1" si="126"/>
        <v>#DIV/0!</v>
      </c>
      <c r="V264" s="67">
        <f t="shared" ca="1" si="127"/>
        <v>0.3</v>
      </c>
      <c r="W264" s="69">
        <f t="shared" si="128"/>
        <v>0.63157894736842102</v>
      </c>
      <c r="X264" s="69">
        <f t="shared" si="129"/>
        <v>0.52631578947368418</v>
      </c>
      <c r="Y264" s="69">
        <f t="shared" si="130"/>
        <v>0.56140350877193024</v>
      </c>
      <c r="Z264" s="69">
        <f t="shared" si="131"/>
        <v>0.70175438596491224</v>
      </c>
      <c r="AA264" s="69">
        <f t="shared" si="132"/>
        <v>0</v>
      </c>
      <c r="AB264" s="69">
        <f t="shared" si="133"/>
        <v>0.49122807017543857</v>
      </c>
      <c r="AC264" s="69">
        <f t="shared" si="134"/>
        <v>0</v>
      </c>
      <c r="AD264" s="70">
        <f t="shared" si="135"/>
        <v>0.73684210526315785</v>
      </c>
      <c r="AE264" s="71">
        <f t="shared" si="136"/>
        <v>0.7</v>
      </c>
      <c r="AF264" s="71">
        <f t="shared" ca="1" si="137"/>
        <v>0.7</v>
      </c>
      <c r="AG264" s="72">
        <f t="shared" ca="1" si="138"/>
        <v>0.69999999999999984</v>
      </c>
      <c r="AH264" s="177">
        <f t="shared" si="139"/>
        <v>3.6491228070175441</v>
      </c>
      <c r="AI264" s="185">
        <f t="shared" ca="1" si="140"/>
        <v>25.543859649122801</v>
      </c>
      <c r="AJ264" s="179" t="str">
        <f t="shared" ca="1" si="125"/>
        <v>Q4</v>
      </c>
      <c r="AK264" s="90" t="s">
        <v>347</v>
      </c>
      <c r="AL264" s="101"/>
      <c r="AM264" s="269"/>
      <c r="AN264" s="103"/>
      <c r="AO264" s="103"/>
      <c r="AP264" s="108"/>
      <c r="AQ264" s="299"/>
      <c r="AR264" s="165"/>
      <c r="AS264" s="164"/>
      <c r="AT264" s="164"/>
      <c r="AU264" s="320"/>
      <c r="AV264" s="324"/>
      <c r="AW264" s="89"/>
    </row>
    <row r="265" spans="1:49" ht="36" customHeight="1">
      <c r="A265" s="5">
        <v>375</v>
      </c>
      <c r="B265" s="229">
        <v>261</v>
      </c>
      <c r="C265" s="6" t="s">
        <v>6</v>
      </c>
      <c r="D265" s="133" t="s">
        <v>7</v>
      </c>
      <c r="E265" s="7" t="s">
        <v>275</v>
      </c>
      <c r="F265" s="9" t="s">
        <v>276</v>
      </c>
      <c r="G265" s="8"/>
      <c r="H265" s="213">
        <v>500000</v>
      </c>
      <c r="I265" s="51">
        <v>5</v>
      </c>
      <c r="J265" s="56">
        <v>0.5</v>
      </c>
      <c r="K265" s="50"/>
      <c r="L265" s="57"/>
      <c r="M265" s="62">
        <v>4</v>
      </c>
      <c r="N265" s="63">
        <v>6</v>
      </c>
      <c r="O265" s="63">
        <v>6.0000000000000036</v>
      </c>
      <c r="P265" s="63">
        <v>4</v>
      </c>
      <c r="Q265" s="63">
        <v>4.0000000000000027</v>
      </c>
      <c r="R265" s="63">
        <v>6.0000000000000036</v>
      </c>
      <c r="S265" s="63">
        <v>5</v>
      </c>
      <c r="T265" s="64">
        <v>6.0000000000000036</v>
      </c>
      <c r="U265" s="67" t="e">
        <f t="shared" ca="1" si="126"/>
        <v>#DIV/0!</v>
      </c>
      <c r="V265" s="67">
        <f t="shared" ca="1" si="127"/>
        <v>0.5</v>
      </c>
      <c r="W265" s="69">
        <f t="shared" si="128"/>
        <v>0.63157894736842102</v>
      </c>
      <c r="X265" s="69">
        <f t="shared" si="129"/>
        <v>0.63157894736842102</v>
      </c>
      <c r="Y265" s="69">
        <f t="shared" si="130"/>
        <v>0.84210526315789525</v>
      </c>
      <c r="Z265" s="69">
        <f t="shared" si="131"/>
        <v>0.70175438596491224</v>
      </c>
      <c r="AA265" s="69">
        <f t="shared" si="132"/>
        <v>0.3508771929824564</v>
      </c>
      <c r="AB265" s="69">
        <f t="shared" si="133"/>
        <v>0.73684210526315841</v>
      </c>
      <c r="AC265" s="69">
        <f t="shared" si="134"/>
        <v>0.52631578947368418</v>
      </c>
      <c r="AD265" s="70">
        <f t="shared" si="135"/>
        <v>0.63157894736842146</v>
      </c>
      <c r="AE265" s="71">
        <f t="shared" si="136"/>
        <v>0.5</v>
      </c>
      <c r="AF265" s="71">
        <f t="shared" ca="1" si="137"/>
        <v>0.5</v>
      </c>
      <c r="AG265" s="72">
        <f t="shared" ca="1" si="138"/>
        <v>0.5</v>
      </c>
      <c r="AH265" s="177">
        <f t="shared" si="139"/>
        <v>5.0526315789473699</v>
      </c>
      <c r="AI265" s="185">
        <f t="shared" ca="1" si="140"/>
        <v>25.26315789473685</v>
      </c>
      <c r="AJ265" s="179" t="str">
        <f t="shared" ca="1" si="125"/>
        <v>Q4</v>
      </c>
      <c r="AK265" s="90" t="s">
        <v>329</v>
      </c>
      <c r="AL265" s="195"/>
      <c r="AM265" s="103"/>
      <c r="AN265" s="109"/>
      <c r="AO265" s="103"/>
      <c r="AP265" s="108"/>
      <c r="AQ265" s="299"/>
      <c r="AR265" s="295"/>
      <c r="AS265" s="164"/>
      <c r="AT265" s="164"/>
      <c r="AU265" s="320"/>
      <c r="AV265" s="324"/>
      <c r="AW265" s="89"/>
    </row>
    <row r="266" spans="1:49" ht="36" customHeight="1">
      <c r="A266" s="5">
        <v>380</v>
      </c>
      <c r="B266" s="229">
        <v>262</v>
      </c>
      <c r="C266" s="6" t="s">
        <v>6</v>
      </c>
      <c r="D266" s="133" t="s">
        <v>7</v>
      </c>
      <c r="E266" s="7" t="s">
        <v>319</v>
      </c>
      <c r="F266" s="9" t="s">
        <v>487</v>
      </c>
      <c r="G266" s="8"/>
      <c r="H266" s="213">
        <v>600000</v>
      </c>
      <c r="I266" s="51">
        <v>6</v>
      </c>
      <c r="J266" s="56">
        <v>0.4</v>
      </c>
      <c r="K266" s="50"/>
      <c r="L266" s="57"/>
      <c r="M266" s="62">
        <v>6.0000000000000036</v>
      </c>
      <c r="N266" s="63">
        <v>8</v>
      </c>
      <c r="O266" s="63">
        <v>4.0000000000000027</v>
      </c>
      <c r="P266" s="63">
        <v>6.0000000000000036</v>
      </c>
      <c r="Q266" s="63">
        <v>1</v>
      </c>
      <c r="R266" s="63">
        <v>8</v>
      </c>
      <c r="S266" s="63">
        <v>0</v>
      </c>
      <c r="T266" s="64">
        <v>8</v>
      </c>
      <c r="U266" s="67" t="e">
        <f t="shared" ca="1" si="126"/>
        <v>#DIV/0!</v>
      </c>
      <c r="V266" s="67">
        <f t="shared" ca="1" si="127"/>
        <v>0.4</v>
      </c>
      <c r="W266" s="69">
        <f t="shared" si="128"/>
        <v>0.94736842105263208</v>
      </c>
      <c r="X266" s="69">
        <f t="shared" si="129"/>
        <v>0.84210526315789469</v>
      </c>
      <c r="Y266" s="69">
        <f t="shared" si="130"/>
        <v>0.56140350877193024</v>
      </c>
      <c r="Z266" s="69">
        <f t="shared" si="131"/>
        <v>1.052631578947369</v>
      </c>
      <c r="AA266" s="69">
        <f t="shared" si="132"/>
        <v>8.771929824561403E-2</v>
      </c>
      <c r="AB266" s="69">
        <f t="shared" si="133"/>
        <v>0.98245614035087714</v>
      </c>
      <c r="AC266" s="69">
        <f t="shared" si="134"/>
        <v>0</v>
      </c>
      <c r="AD266" s="70">
        <f t="shared" si="135"/>
        <v>0.84210526315789469</v>
      </c>
      <c r="AE266" s="71">
        <f t="shared" si="136"/>
        <v>0.39999999999999991</v>
      </c>
      <c r="AF266" s="71">
        <f t="shared" ca="1" si="137"/>
        <v>0.6</v>
      </c>
      <c r="AG266" s="72">
        <f t="shared" ca="1" si="138"/>
        <v>0.46666666666666662</v>
      </c>
      <c r="AH266" s="177">
        <f t="shared" si="139"/>
        <v>5.3157894736842115</v>
      </c>
      <c r="AI266" s="185">
        <f t="shared" ca="1" si="140"/>
        <v>24.807017543859651</v>
      </c>
      <c r="AJ266" s="179" t="str">
        <f t="shared" ca="1" si="125"/>
        <v>Q4</v>
      </c>
      <c r="AK266" s="90" t="s">
        <v>329</v>
      </c>
      <c r="AL266" s="194"/>
      <c r="AM266" s="103"/>
      <c r="AN266" s="109"/>
      <c r="AO266" s="103"/>
      <c r="AP266" s="108"/>
      <c r="AQ266" s="299"/>
      <c r="AR266" s="295"/>
      <c r="AS266" s="164"/>
      <c r="AT266" s="164"/>
      <c r="AU266" s="320"/>
      <c r="AV266" s="324"/>
      <c r="AW266" s="89"/>
    </row>
    <row r="267" spans="1:49" ht="36" customHeight="1">
      <c r="A267" s="5">
        <v>142</v>
      </c>
      <c r="B267" s="229">
        <v>263</v>
      </c>
      <c r="C267" s="6" t="s">
        <v>6</v>
      </c>
      <c r="D267" s="133" t="s">
        <v>7</v>
      </c>
      <c r="E267" s="7" t="s">
        <v>321</v>
      </c>
      <c r="F267" s="9" t="s">
        <v>558</v>
      </c>
      <c r="G267" s="8"/>
      <c r="H267" s="213">
        <v>150000</v>
      </c>
      <c r="I267" s="51">
        <v>6</v>
      </c>
      <c r="J267" s="56">
        <v>0.4</v>
      </c>
      <c r="K267" s="50"/>
      <c r="L267" s="57"/>
      <c r="M267" s="62">
        <v>6.0000000000000036</v>
      </c>
      <c r="N267" s="63">
        <v>8</v>
      </c>
      <c r="O267" s="63">
        <v>4.0000000000000027</v>
      </c>
      <c r="P267" s="63">
        <v>6.0000000000000036</v>
      </c>
      <c r="Q267" s="63">
        <v>1</v>
      </c>
      <c r="R267" s="63">
        <v>8</v>
      </c>
      <c r="S267" s="63">
        <v>0</v>
      </c>
      <c r="T267" s="64">
        <v>8</v>
      </c>
      <c r="U267" s="67" t="e">
        <f t="shared" ca="1" si="126"/>
        <v>#DIV/0!</v>
      </c>
      <c r="V267" s="67">
        <f t="shared" ca="1" si="127"/>
        <v>0.4</v>
      </c>
      <c r="W267" s="69">
        <f t="shared" si="128"/>
        <v>0.94736842105263208</v>
      </c>
      <c r="X267" s="69">
        <f t="shared" si="129"/>
        <v>0.84210526315789469</v>
      </c>
      <c r="Y267" s="69">
        <f t="shared" si="130"/>
        <v>0.56140350877193024</v>
      </c>
      <c r="Z267" s="69">
        <f t="shared" si="131"/>
        <v>1.052631578947369</v>
      </c>
      <c r="AA267" s="69">
        <f t="shared" si="132"/>
        <v>8.771929824561403E-2</v>
      </c>
      <c r="AB267" s="69">
        <f t="shared" si="133"/>
        <v>0.98245614035087714</v>
      </c>
      <c r="AC267" s="69">
        <f t="shared" si="134"/>
        <v>0</v>
      </c>
      <c r="AD267" s="70">
        <f t="shared" si="135"/>
        <v>0.84210526315789469</v>
      </c>
      <c r="AE267" s="71">
        <f t="shared" si="136"/>
        <v>0.39999999999999991</v>
      </c>
      <c r="AF267" s="71">
        <f t="shared" ca="1" si="137"/>
        <v>0.6</v>
      </c>
      <c r="AG267" s="72">
        <f t="shared" ca="1" si="138"/>
        <v>0.46666666666666662</v>
      </c>
      <c r="AH267" s="177">
        <f t="shared" si="139"/>
        <v>5.3157894736842115</v>
      </c>
      <c r="AI267" s="185">
        <f t="shared" ca="1" si="140"/>
        <v>24.807017543859651</v>
      </c>
      <c r="AJ267" s="179" t="str">
        <f t="shared" ca="1" si="125"/>
        <v>Q4</v>
      </c>
      <c r="AK267" s="90" t="s">
        <v>329</v>
      </c>
      <c r="AL267" s="194"/>
      <c r="AM267" s="103"/>
      <c r="AN267" s="103"/>
      <c r="AO267" s="103"/>
      <c r="AP267" s="108"/>
      <c r="AQ267" s="299"/>
      <c r="AR267" s="295"/>
      <c r="AS267" s="164"/>
      <c r="AT267" s="164"/>
      <c r="AU267" s="320"/>
      <c r="AV267" s="324"/>
      <c r="AW267" s="89"/>
    </row>
    <row r="268" spans="1:49" ht="36" customHeight="1">
      <c r="A268" s="5">
        <v>372</v>
      </c>
      <c r="B268" s="229">
        <v>264</v>
      </c>
      <c r="C268" s="6" t="s">
        <v>35</v>
      </c>
      <c r="D268" s="133" t="s">
        <v>7</v>
      </c>
      <c r="E268" s="18" t="s">
        <v>91</v>
      </c>
      <c r="F268" s="19" t="s">
        <v>488</v>
      </c>
      <c r="G268" s="20" t="s">
        <v>92</v>
      </c>
      <c r="H268" s="215">
        <v>192000</v>
      </c>
      <c r="I268" s="51">
        <v>4</v>
      </c>
      <c r="J268" s="56">
        <v>0.2</v>
      </c>
      <c r="K268" s="50"/>
      <c r="L268" s="57"/>
      <c r="M268" s="62">
        <v>2</v>
      </c>
      <c r="N268" s="63">
        <v>4</v>
      </c>
      <c r="O268" s="63">
        <v>4</v>
      </c>
      <c r="P268" s="63">
        <v>2</v>
      </c>
      <c r="Q268" s="63">
        <v>6</v>
      </c>
      <c r="R268" s="63">
        <v>4.0000000000000027</v>
      </c>
      <c r="S268" s="63">
        <v>2</v>
      </c>
      <c r="T268" s="64">
        <v>8.0000000000000053</v>
      </c>
      <c r="U268" s="67" t="e">
        <f t="shared" ca="1" si="126"/>
        <v>#DIV/0!</v>
      </c>
      <c r="V268" s="67">
        <f t="shared" ca="1" si="127"/>
        <v>0.2</v>
      </c>
      <c r="W268" s="69">
        <f t="shared" si="128"/>
        <v>0.31578947368421051</v>
      </c>
      <c r="X268" s="69">
        <f t="shared" si="129"/>
        <v>0.42105263157894735</v>
      </c>
      <c r="Y268" s="69">
        <f t="shared" si="130"/>
        <v>0.56140350877192979</v>
      </c>
      <c r="Z268" s="69">
        <f t="shared" si="131"/>
        <v>0.35087719298245612</v>
      </c>
      <c r="AA268" s="69">
        <f t="shared" si="132"/>
        <v>0.52631578947368418</v>
      </c>
      <c r="AB268" s="69">
        <f t="shared" si="133"/>
        <v>0.4912280701754389</v>
      </c>
      <c r="AC268" s="69">
        <f t="shared" si="134"/>
        <v>0.21052631578947367</v>
      </c>
      <c r="AD268" s="70">
        <f t="shared" si="135"/>
        <v>0.84210526315789525</v>
      </c>
      <c r="AE268" s="71">
        <f t="shared" si="136"/>
        <v>0.6</v>
      </c>
      <c r="AF268" s="71">
        <f t="shared" ca="1" si="137"/>
        <v>0.8</v>
      </c>
      <c r="AG268" s="72">
        <f t="shared" ca="1" si="138"/>
        <v>0.66666666666666663</v>
      </c>
      <c r="AH268" s="177">
        <f t="shared" si="139"/>
        <v>3.7192982456140355</v>
      </c>
      <c r="AI268" s="185">
        <f t="shared" ca="1" si="140"/>
        <v>24.795321637426902</v>
      </c>
      <c r="AJ268" s="179" t="str">
        <f t="shared" ca="1" si="125"/>
        <v>Q4</v>
      </c>
      <c r="AK268" s="90" t="s">
        <v>338</v>
      </c>
      <c r="AL268" s="194"/>
      <c r="AM268" s="103"/>
      <c r="AN268" s="103"/>
      <c r="AO268" s="103"/>
      <c r="AP268" s="108"/>
      <c r="AQ268" s="299"/>
      <c r="AR268" s="295"/>
      <c r="AS268" s="164"/>
      <c r="AT268" s="164"/>
      <c r="AU268" s="320"/>
      <c r="AV268" s="324"/>
      <c r="AW268" s="89"/>
    </row>
    <row r="269" spans="1:49" ht="36" customHeight="1">
      <c r="A269" s="5"/>
      <c r="B269" s="229">
        <v>265</v>
      </c>
      <c r="C269" s="6" t="s">
        <v>12</v>
      </c>
      <c r="D269" s="133" t="s">
        <v>385</v>
      </c>
      <c r="E269" s="12" t="s">
        <v>316</v>
      </c>
      <c r="F269" s="13" t="s">
        <v>317</v>
      </c>
      <c r="G269" s="113"/>
      <c r="H269" s="215">
        <v>400000</v>
      </c>
      <c r="I269" s="51">
        <v>6</v>
      </c>
      <c r="J269" s="56">
        <v>0.6</v>
      </c>
      <c r="K269" s="50"/>
      <c r="L269" s="57"/>
      <c r="M269" s="62">
        <v>8</v>
      </c>
      <c r="N269" s="63">
        <v>6.0000000000000036</v>
      </c>
      <c r="O269" s="63">
        <v>4.0000000000000027</v>
      </c>
      <c r="P269" s="63">
        <v>9.9999999999999982</v>
      </c>
      <c r="Q269" s="63">
        <v>2</v>
      </c>
      <c r="R269" s="63">
        <v>6</v>
      </c>
      <c r="S269" s="63">
        <v>0</v>
      </c>
      <c r="T269" s="64">
        <v>9.9999999999999982</v>
      </c>
      <c r="U269" s="67" t="e">
        <f t="shared" ca="1" si="126"/>
        <v>#DIV/0!</v>
      </c>
      <c r="V269" s="67">
        <f t="shared" ca="1" si="127"/>
        <v>0.6</v>
      </c>
      <c r="W269" s="69">
        <f t="shared" si="128"/>
        <v>1.263157894736842</v>
      </c>
      <c r="X269" s="69">
        <f t="shared" si="129"/>
        <v>0.63157894736842146</v>
      </c>
      <c r="Y269" s="69">
        <f t="shared" si="130"/>
        <v>0.56140350877193024</v>
      </c>
      <c r="Z269" s="69">
        <f t="shared" si="131"/>
        <v>1.7543859649122804</v>
      </c>
      <c r="AA269" s="69">
        <f t="shared" si="132"/>
        <v>0.17543859649122806</v>
      </c>
      <c r="AB269" s="69">
        <f t="shared" si="133"/>
        <v>0.73684210526315785</v>
      </c>
      <c r="AC269" s="69">
        <f t="shared" si="134"/>
        <v>0</v>
      </c>
      <c r="AD269" s="70">
        <f t="shared" si="135"/>
        <v>1.0526315789473681</v>
      </c>
      <c r="AE269" s="71">
        <f t="shared" si="136"/>
        <v>0.39999999999999991</v>
      </c>
      <c r="AF269" s="71">
        <f t="shared" ca="1" si="137"/>
        <v>0.4</v>
      </c>
      <c r="AG269" s="72">
        <f t="shared" ca="1" si="138"/>
        <v>0.39999999999999991</v>
      </c>
      <c r="AH269" s="177">
        <f t="shared" si="139"/>
        <v>6.1754385964912277</v>
      </c>
      <c r="AI269" s="185">
        <f t="shared" ca="1" si="140"/>
        <v>24.701754385964904</v>
      </c>
      <c r="AJ269" s="179" t="str">
        <f t="shared" ca="1" si="125"/>
        <v>Q3</v>
      </c>
      <c r="AK269" s="90" t="s">
        <v>329</v>
      </c>
      <c r="AL269" s="101"/>
      <c r="AM269" s="269"/>
      <c r="AN269" s="103"/>
      <c r="AO269" s="103"/>
      <c r="AP269" s="108"/>
      <c r="AQ269" s="299"/>
      <c r="AR269" s="165"/>
      <c r="AS269" s="164"/>
      <c r="AT269" s="164"/>
      <c r="AU269" s="320"/>
      <c r="AV269" s="324"/>
      <c r="AW269" s="89"/>
    </row>
    <row r="270" spans="1:49" ht="36" customHeight="1">
      <c r="A270" s="5">
        <v>345</v>
      </c>
      <c r="B270" s="229">
        <v>266</v>
      </c>
      <c r="C270" s="6" t="s">
        <v>9</v>
      </c>
      <c r="D270" s="133" t="s">
        <v>10</v>
      </c>
      <c r="E270" s="10" t="s">
        <v>405</v>
      </c>
      <c r="F270" s="9" t="s">
        <v>519</v>
      </c>
      <c r="G270" s="8"/>
      <c r="H270" s="219">
        <v>60000</v>
      </c>
      <c r="I270" s="50">
        <v>4</v>
      </c>
      <c r="J270" s="56">
        <v>0.5</v>
      </c>
      <c r="K270" s="50"/>
      <c r="L270" s="57"/>
      <c r="M270" s="62">
        <v>4</v>
      </c>
      <c r="N270" s="63">
        <v>2</v>
      </c>
      <c r="O270" s="63">
        <v>2</v>
      </c>
      <c r="P270" s="63">
        <v>6</v>
      </c>
      <c r="Q270" s="63">
        <v>6</v>
      </c>
      <c r="R270" s="63">
        <v>4</v>
      </c>
      <c r="S270" s="63">
        <v>0</v>
      </c>
      <c r="T270" s="64">
        <v>10</v>
      </c>
      <c r="U270" s="67" t="e">
        <f t="shared" ca="1" si="126"/>
        <v>#DIV/0!</v>
      </c>
      <c r="V270" s="67">
        <f t="shared" ca="1" si="127"/>
        <v>0.5</v>
      </c>
      <c r="W270" s="69">
        <f t="shared" si="128"/>
        <v>0.63157894736842102</v>
      </c>
      <c r="X270" s="69">
        <f t="shared" si="129"/>
        <v>0.21052631578947367</v>
      </c>
      <c r="Y270" s="69">
        <f t="shared" si="130"/>
        <v>0.2807017543859649</v>
      </c>
      <c r="Z270" s="69">
        <f t="shared" si="131"/>
        <v>1.0526315789473684</v>
      </c>
      <c r="AA270" s="69">
        <f t="shared" si="132"/>
        <v>0.52631578947368418</v>
      </c>
      <c r="AB270" s="69">
        <f t="shared" si="133"/>
        <v>0.49122807017543857</v>
      </c>
      <c r="AC270" s="69">
        <f t="shared" si="134"/>
        <v>0</v>
      </c>
      <c r="AD270" s="70">
        <f t="shared" si="135"/>
        <v>1.0526315789473684</v>
      </c>
      <c r="AE270" s="71">
        <f t="shared" si="136"/>
        <v>0.6</v>
      </c>
      <c r="AF270" s="71">
        <f t="shared" ca="1" si="137"/>
        <v>0.5</v>
      </c>
      <c r="AG270" s="72">
        <f t="shared" ca="1" si="138"/>
        <v>0.56666666666666665</v>
      </c>
      <c r="AH270" s="177">
        <f t="shared" si="139"/>
        <v>4.2456140350877183</v>
      </c>
      <c r="AI270" s="185">
        <f t="shared" ca="1" si="140"/>
        <v>24.058479532163734</v>
      </c>
      <c r="AJ270" s="179" t="str">
        <f t="shared" ca="1" si="125"/>
        <v>Q4</v>
      </c>
      <c r="AK270" s="90" t="s">
        <v>342</v>
      </c>
      <c r="AL270" s="192"/>
      <c r="AM270" s="103"/>
      <c r="AN270" s="103"/>
      <c r="AO270" s="103"/>
      <c r="AP270" s="108"/>
      <c r="AQ270" s="299"/>
      <c r="AR270" s="295"/>
      <c r="AS270" s="164"/>
      <c r="AT270" s="164"/>
      <c r="AU270" s="320"/>
      <c r="AV270" s="324"/>
      <c r="AW270" s="89"/>
    </row>
    <row r="271" spans="1:49" ht="36" customHeight="1">
      <c r="A271" s="5">
        <v>342</v>
      </c>
      <c r="B271" s="229">
        <v>267</v>
      </c>
      <c r="C271" s="6" t="s">
        <v>8</v>
      </c>
      <c r="D271" s="133" t="s">
        <v>7</v>
      </c>
      <c r="E271" s="18" t="s">
        <v>302</v>
      </c>
      <c r="F271" s="20" t="s">
        <v>587</v>
      </c>
      <c r="G271" s="20" t="s">
        <v>303</v>
      </c>
      <c r="H271" s="215">
        <v>204000</v>
      </c>
      <c r="I271" s="51">
        <v>3</v>
      </c>
      <c r="J271" s="56">
        <v>0.3</v>
      </c>
      <c r="K271" s="50"/>
      <c r="L271" s="57"/>
      <c r="M271" s="62">
        <v>2</v>
      </c>
      <c r="N271" s="63">
        <v>4.0000000000000027</v>
      </c>
      <c r="O271" s="63">
        <v>2</v>
      </c>
      <c r="P271" s="63">
        <v>8.0000000000000053</v>
      </c>
      <c r="Q271" s="63">
        <v>1</v>
      </c>
      <c r="R271" s="63">
        <v>4.0000000000000027</v>
      </c>
      <c r="S271" s="63">
        <v>0</v>
      </c>
      <c r="T271" s="64">
        <v>4</v>
      </c>
      <c r="U271" s="67" t="e">
        <f t="shared" ca="1" si="126"/>
        <v>#DIV/0!</v>
      </c>
      <c r="V271" s="67">
        <f t="shared" ca="1" si="127"/>
        <v>0.3</v>
      </c>
      <c r="W271" s="69">
        <f t="shared" si="128"/>
        <v>0.31578947368421051</v>
      </c>
      <c r="X271" s="69">
        <f t="shared" si="129"/>
        <v>0.42105263157894762</v>
      </c>
      <c r="Y271" s="69">
        <f t="shared" si="130"/>
        <v>0.2807017543859649</v>
      </c>
      <c r="Z271" s="69">
        <f t="shared" si="131"/>
        <v>1.4035087719298256</v>
      </c>
      <c r="AA271" s="69">
        <f t="shared" si="132"/>
        <v>8.771929824561403E-2</v>
      </c>
      <c r="AB271" s="69">
        <f t="shared" si="133"/>
        <v>0.4912280701754389</v>
      </c>
      <c r="AC271" s="69">
        <f t="shared" si="134"/>
        <v>0</v>
      </c>
      <c r="AD271" s="70">
        <f t="shared" si="135"/>
        <v>0.42105263157894735</v>
      </c>
      <c r="AE271" s="71">
        <f t="shared" si="136"/>
        <v>0.7</v>
      </c>
      <c r="AF271" s="71">
        <f t="shared" ca="1" si="137"/>
        <v>0.7</v>
      </c>
      <c r="AG271" s="72">
        <f t="shared" ca="1" si="138"/>
        <v>0.69999999999999984</v>
      </c>
      <c r="AH271" s="177">
        <f t="shared" si="139"/>
        <v>3.4210526315789487</v>
      </c>
      <c r="AI271" s="185">
        <f t="shared" ca="1" si="140"/>
        <v>23.947368421052637</v>
      </c>
      <c r="AJ271" s="179" t="str">
        <f t="shared" ca="1" si="125"/>
        <v>Q4</v>
      </c>
      <c r="AK271" s="90" t="s">
        <v>662</v>
      </c>
      <c r="AL271" s="101"/>
      <c r="AM271" s="269"/>
      <c r="AN271" s="103"/>
      <c r="AO271" s="103"/>
      <c r="AP271" s="108"/>
      <c r="AQ271" s="299"/>
      <c r="AR271" s="165"/>
      <c r="AS271" s="164"/>
      <c r="AT271" s="164"/>
      <c r="AU271" s="320"/>
      <c r="AV271" s="324"/>
      <c r="AW271" s="89"/>
    </row>
    <row r="272" spans="1:49" ht="36" customHeight="1">
      <c r="A272" s="5">
        <v>368</v>
      </c>
      <c r="B272" s="229">
        <v>268</v>
      </c>
      <c r="C272" s="14" t="s">
        <v>6</v>
      </c>
      <c r="D272" s="168" t="s">
        <v>384</v>
      </c>
      <c r="E272" s="7" t="s">
        <v>618</v>
      </c>
      <c r="F272" s="8" t="s">
        <v>655</v>
      </c>
      <c r="G272" s="8"/>
      <c r="H272" s="213">
        <v>400000</v>
      </c>
      <c r="I272" s="51">
        <v>5</v>
      </c>
      <c r="J272" s="56">
        <v>0.5</v>
      </c>
      <c r="K272" s="50"/>
      <c r="L272" s="57"/>
      <c r="M272" s="62">
        <v>4.0000000000000027</v>
      </c>
      <c r="N272" s="63">
        <v>8.0000000000000053</v>
      </c>
      <c r="O272" s="63">
        <v>1</v>
      </c>
      <c r="P272" s="63">
        <v>8.0000000000000053</v>
      </c>
      <c r="Q272" s="63">
        <v>4.0000000000000027</v>
      </c>
      <c r="R272" s="63">
        <v>6.0000000000000036</v>
      </c>
      <c r="S272" s="63">
        <v>0</v>
      </c>
      <c r="T272" s="64">
        <v>6.0000000000000036</v>
      </c>
      <c r="U272" s="67" t="e">
        <f t="shared" ca="1" si="126"/>
        <v>#DIV/0!</v>
      </c>
      <c r="V272" s="67">
        <f t="shared" ca="1" si="127"/>
        <v>0.5</v>
      </c>
      <c r="W272" s="69">
        <f t="shared" si="128"/>
        <v>0.63157894736842146</v>
      </c>
      <c r="X272" s="69">
        <f t="shared" si="129"/>
        <v>0.84210526315789525</v>
      </c>
      <c r="Y272" s="69">
        <f t="shared" si="130"/>
        <v>0.14035087719298245</v>
      </c>
      <c r="Z272" s="69">
        <f t="shared" si="131"/>
        <v>1.4035087719298256</v>
      </c>
      <c r="AA272" s="69">
        <f t="shared" si="132"/>
        <v>0.3508771929824564</v>
      </c>
      <c r="AB272" s="69">
        <f t="shared" si="133"/>
        <v>0.73684210526315841</v>
      </c>
      <c r="AC272" s="69">
        <f t="shared" si="134"/>
        <v>0</v>
      </c>
      <c r="AD272" s="70">
        <f t="shared" si="135"/>
        <v>0.63157894736842146</v>
      </c>
      <c r="AE272" s="71">
        <f t="shared" si="136"/>
        <v>0.5</v>
      </c>
      <c r="AF272" s="71">
        <f t="shared" ca="1" si="137"/>
        <v>0.5</v>
      </c>
      <c r="AG272" s="72">
        <f t="shared" ca="1" si="138"/>
        <v>0.5</v>
      </c>
      <c r="AH272" s="177">
        <f t="shared" si="139"/>
        <v>4.7368421052631611</v>
      </c>
      <c r="AI272" s="185">
        <f t="shared" ca="1" si="140"/>
        <v>23.684210526315805</v>
      </c>
      <c r="AJ272" s="179" t="str">
        <f t="shared" ca="1" si="125"/>
        <v>Q4</v>
      </c>
      <c r="AK272" s="90" t="s">
        <v>329</v>
      </c>
      <c r="AL272" s="101"/>
      <c r="AM272" s="268"/>
      <c r="AN272" s="103"/>
      <c r="AO272" s="103"/>
      <c r="AP272" s="108"/>
      <c r="AQ272" s="299"/>
      <c r="AR272" s="327"/>
      <c r="AS272" s="164"/>
      <c r="AT272" s="164"/>
      <c r="AU272" s="320"/>
      <c r="AV272" s="324"/>
      <c r="AW272" s="89"/>
    </row>
    <row r="273" spans="1:49" ht="36" customHeight="1">
      <c r="A273" s="153">
        <v>338</v>
      </c>
      <c r="B273" s="229">
        <v>269</v>
      </c>
      <c r="C273" s="6" t="s">
        <v>12</v>
      </c>
      <c r="D273" s="133" t="s">
        <v>385</v>
      </c>
      <c r="E273" s="12" t="s">
        <v>765</v>
      </c>
      <c r="F273" s="22" t="s">
        <v>496</v>
      </c>
      <c r="G273" s="113" t="s">
        <v>24</v>
      </c>
      <c r="H273" s="215">
        <v>1000000</v>
      </c>
      <c r="I273" s="51">
        <v>7</v>
      </c>
      <c r="J273" s="56">
        <v>0.6</v>
      </c>
      <c r="K273" s="50"/>
      <c r="L273" s="57"/>
      <c r="M273" s="62">
        <v>8.0000000000000053</v>
      </c>
      <c r="N273" s="63">
        <v>8.0000000000000053</v>
      </c>
      <c r="O273" s="63">
        <v>6.0000000000000036</v>
      </c>
      <c r="P273" s="63">
        <v>9.9999999999999982</v>
      </c>
      <c r="Q273" s="63">
        <v>6.0000000000000036</v>
      </c>
      <c r="R273" s="63">
        <v>8.0000000000000053</v>
      </c>
      <c r="S273" s="63">
        <v>0</v>
      </c>
      <c r="T273" s="64">
        <v>8.0000000000000053</v>
      </c>
      <c r="U273" s="67" t="e">
        <f t="shared" ca="1" si="126"/>
        <v>#DIV/0!</v>
      </c>
      <c r="V273" s="67">
        <f t="shared" ca="1" si="127"/>
        <v>0.6</v>
      </c>
      <c r="W273" s="69">
        <f t="shared" si="128"/>
        <v>1.2631578947368429</v>
      </c>
      <c r="X273" s="69">
        <f t="shared" si="129"/>
        <v>0.84210526315789525</v>
      </c>
      <c r="Y273" s="69">
        <f t="shared" si="130"/>
        <v>0.84210526315789525</v>
      </c>
      <c r="Z273" s="69">
        <f t="shared" si="131"/>
        <v>1.7543859649122804</v>
      </c>
      <c r="AA273" s="69">
        <f t="shared" si="132"/>
        <v>0.52631578947368451</v>
      </c>
      <c r="AB273" s="69">
        <f t="shared" si="133"/>
        <v>0.9824561403508778</v>
      </c>
      <c r="AC273" s="69">
        <f t="shared" si="134"/>
        <v>0</v>
      </c>
      <c r="AD273" s="70">
        <f t="shared" si="135"/>
        <v>0.84210526315789525</v>
      </c>
      <c r="AE273" s="71">
        <f t="shared" si="136"/>
        <v>0.29999999999999993</v>
      </c>
      <c r="AF273" s="71">
        <f t="shared" ca="1" si="137"/>
        <v>0.4</v>
      </c>
      <c r="AG273" s="72">
        <f t="shared" ca="1" si="138"/>
        <v>0.33333333333333331</v>
      </c>
      <c r="AH273" s="177">
        <f t="shared" si="139"/>
        <v>7.0526315789473708</v>
      </c>
      <c r="AI273" s="185">
        <f t="shared" ca="1" si="140"/>
        <v>23.508771929824569</v>
      </c>
      <c r="AJ273" s="179" t="str">
        <f t="shared" ca="1" si="125"/>
        <v>Q3</v>
      </c>
      <c r="AK273" s="90" t="s">
        <v>329</v>
      </c>
      <c r="AL273" s="101"/>
      <c r="AM273" s="268"/>
      <c r="AN273" s="103"/>
      <c r="AO273" s="103"/>
      <c r="AP273" s="108"/>
      <c r="AQ273" s="299"/>
      <c r="AR273" s="327"/>
      <c r="AS273" s="164"/>
      <c r="AT273" s="164"/>
      <c r="AU273" s="320"/>
      <c r="AV273" s="324"/>
      <c r="AW273" s="89"/>
    </row>
    <row r="274" spans="1:49" ht="36" customHeight="1">
      <c r="A274" s="5">
        <v>284</v>
      </c>
      <c r="B274" s="229">
        <v>270</v>
      </c>
      <c r="C274" s="14" t="s">
        <v>18</v>
      </c>
      <c r="D274" s="168" t="s">
        <v>383</v>
      </c>
      <c r="E274" s="12" t="s">
        <v>295</v>
      </c>
      <c r="F274" s="22" t="s">
        <v>296</v>
      </c>
      <c r="G274" s="102" t="s">
        <v>297</v>
      </c>
      <c r="H274" s="213">
        <v>1500000</v>
      </c>
      <c r="I274" s="51">
        <v>3</v>
      </c>
      <c r="J274" s="56">
        <v>0.5</v>
      </c>
      <c r="K274" s="50"/>
      <c r="L274" s="57"/>
      <c r="M274" s="62">
        <v>2</v>
      </c>
      <c r="N274" s="63">
        <v>5.0000000000000027</v>
      </c>
      <c r="O274" s="63">
        <v>1</v>
      </c>
      <c r="P274" s="63">
        <v>4.0000000000000027</v>
      </c>
      <c r="Q274" s="63">
        <v>1</v>
      </c>
      <c r="R274" s="63">
        <v>8.0000000000000053</v>
      </c>
      <c r="S274" s="63">
        <v>0</v>
      </c>
      <c r="T274" s="64">
        <v>9.0000000000000018</v>
      </c>
      <c r="U274" s="67" t="e">
        <f t="shared" ca="1" si="126"/>
        <v>#DIV/0!</v>
      </c>
      <c r="V274" s="67">
        <f t="shared" ca="1" si="127"/>
        <v>0.5</v>
      </c>
      <c r="W274" s="69">
        <f t="shared" si="128"/>
        <v>0.31578947368421051</v>
      </c>
      <c r="X274" s="69">
        <f t="shared" si="129"/>
        <v>0.52631578947368451</v>
      </c>
      <c r="Y274" s="69">
        <f t="shared" si="130"/>
        <v>0.14035087719298245</v>
      </c>
      <c r="Z274" s="69">
        <f t="shared" si="131"/>
        <v>0.7017543859649128</v>
      </c>
      <c r="AA274" s="69">
        <f t="shared" si="132"/>
        <v>8.771929824561403E-2</v>
      </c>
      <c r="AB274" s="69">
        <f t="shared" si="133"/>
        <v>0.9824561403508778</v>
      </c>
      <c r="AC274" s="69">
        <f t="shared" si="134"/>
        <v>0</v>
      </c>
      <c r="AD274" s="70">
        <f t="shared" si="135"/>
        <v>0.94736842105263186</v>
      </c>
      <c r="AE274" s="71">
        <f t="shared" si="136"/>
        <v>0.7</v>
      </c>
      <c r="AF274" s="71">
        <f t="shared" ca="1" si="137"/>
        <v>0.5</v>
      </c>
      <c r="AG274" s="72">
        <f t="shared" ca="1" si="138"/>
        <v>0.6333333333333333</v>
      </c>
      <c r="AH274" s="177">
        <f t="shared" si="139"/>
        <v>3.701754385964914</v>
      </c>
      <c r="AI274" s="185">
        <f t="shared" ca="1" si="140"/>
        <v>23.444444444444454</v>
      </c>
      <c r="AJ274" s="179" t="str">
        <f t="shared" ca="1" si="125"/>
        <v>Q4</v>
      </c>
      <c r="AK274" s="90" t="s">
        <v>338</v>
      </c>
      <c r="AL274" s="101"/>
      <c r="AM274" s="268"/>
      <c r="AN274" s="103"/>
      <c r="AO274" s="103"/>
      <c r="AP274" s="108"/>
      <c r="AQ274" s="299"/>
      <c r="AR274" s="327"/>
      <c r="AS274" s="164"/>
      <c r="AT274" s="164"/>
      <c r="AU274" s="320"/>
      <c r="AV274" s="324"/>
      <c r="AW274" s="89"/>
    </row>
    <row r="275" spans="1:49" ht="36" customHeight="1">
      <c r="A275" s="5">
        <v>346</v>
      </c>
      <c r="B275" s="229">
        <v>271</v>
      </c>
      <c r="C275" s="6" t="s">
        <v>18</v>
      </c>
      <c r="D275" s="133" t="s">
        <v>383</v>
      </c>
      <c r="E275" s="12" t="s">
        <v>236</v>
      </c>
      <c r="F275" s="22" t="s">
        <v>739</v>
      </c>
      <c r="G275" s="102" t="s">
        <v>63</v>
      </c>
      <c r="H275" s="213">
        <v>750000</v>
      </c>
      <c r="I275" s="50">
        <v>5</v>
      </c>
      <c r="J275" s="56">
        <v>0.3</v>
      </c>
      <c r="K275" s="50"/>
      <c r="L275" s="57"/>
      <c r="M275" s="62">
        <v>4</v>
      </c>
      <c r="N275" s="63">
        <v>8.0000000000000053</v>
      </c>
      <c r="O275" s="63">
        <v>1</v>
      </c>
      <c r="P275" s="63">
        <v>4</v>
      </c>
      <c r="Q275" s="63">
        <v>1</v>
      </c>
      <c r="R275" s="63">
        <v>7.0000000000000044</v>
      </c>
      <c r="S275" s="63">
        <v>0</v>
      </c>
      <c r="T275" s="64">
        <v>8.0000000000000053</v>
      </c>
      <c r="U275" s="67" t="e">
        <f t="shared" ca="1" si="126"/>
        <v>#DIV/0!</v>
      </c>
      <c r="V275" s="67">
        <f t="shared" ca="1" si="127"/>
        <v>0.3</v>
      </c>
      <c r="W275" s="69">
        <f t="shared" si="128"/>
        <v>0.63157894736842102</v>
      </c>
      <c r="X275" s="69">
        <f t="shared" si="129"/>
        <v>0.84210526315789525</v>
      </c>
      <c r="Y275" s="69">
        <f t="shared" si="130"/>
        <v>0.14035087719298245</v>
      </c>
      <c r="Z275" s="69">
        <f t="shared" si="131"/>
        <v>0.70175438596491224</v>
      </c>
      <c r="AA275" s="69">
        <f t="shared" si="132"/>
        <v>8.771929824561403E-2</v>
      </c>
      <c r="AB275" s="69">
        <f t="shared" si="133"/>
        <v>0.859649122807018</v>
      </c>
      <c r="AC275" s="69">
        <f t="shared" si="134"/>
        <v>0</v>
      </c>
      <c r="AD275" s="70">
        <f t="shared" si="135"/>
        <v>0.84210526315789525</v>
      </c>
      <c r="AE275" s="71">
        <f t="shared" si="136"/>
        <v>0.5</v>
      </c>
      <c r="AF275" s="71">
        <f t="shared" ca="1" si="137"/>
        <v>0.7</v>
      </c>
      <c r="AG275" s="72">
        <f t="shared" ca="1" si="138"/>
        <v>0.56666666666666665</v>
      </c>
      <c r="AH275" s="177">
        <f t="shared" si="139"/>
        <v>4.1052631578947381</v>
      </c>
      <c r="AI275" s="185">
        <f t="shared" ca="1" si="140"/>
        <v>23.26315789473685</v>
      </c>
      <c r="AJ275" s="179" t="str">
        <f t="shared" ca="1" si="125"/>
        <v>Q4</v>
      </c>
      <c r="AK275" s="88" t="s">
        <v>329</v>
      </c>
      <c r="AL275" s="100"/>
      <c r="AM275" s="269"/>
      <c r="AN275" s="103"/>
      <c r="AO275" s="103"/>
      <c r="AP275" s="108"/>
      <c r="AQ275" s="299"/>
      <c r="AR275" s="327"/>
      <c r="AS275" s="164"/>
      <c r="AT275" s="164"/>
      <c r="AU275" s="320"/>
      <c r="AV275" s="324"/>
      <c r="AW275" s="89"/>
    </row>
    <row r="276" spans="1:49" ht="36" customHeight="1">
      <c r="A276" s="153">
        <v>219</v>
      </c>
      <c r="B276" s="229">
        <v>272</v>
      </c>
      <c r="C276" s="14" t="s">
        <v>20</v>
      </c>
      <c r="D276" s="168" t="s">
        <v>7</v>
      </c>
      <c r="E276" s="12" t="s">
        <v>304</v>
      </c>
      <c r="F276" s="22" t="s">
        <v>449</v>
      </c>
      <c r="G276" s="13" t="s">
        <v>305</v>
      </c>
      <c r="H276" s="213">
        <v>150000</v>
      </c>
      <c r="I276" s="51">
        <v>5</v>
      </c>
      <c r="J276" s="56">
        <v>0.5</v>
      </c>
      <c r="K276" s="50"/>
      <c r="L276" s="57"/>
      <c r="M276" s="62">
        <v>8.0000000000000053</v>
      </c>
      <c r="N276" s="63">
        <v>6.0000000000000036</v>
      </c>
      <c r="O276" s="63">
        <v>4.0000000000000027</v>
      </c>
      <c r="P276" s="63">
        <v>4.0000000000000027</v>
      </c>
      <c r="Q276" s="63">
        <v>4.0000000000000027</v>
      </c>
      <c r="R276" s="63">
        <v>4.0000000000000027</v>
      </c>
      <c r="S276" s="63">
        <v>0</v>
      </c>
      <c r="T276" s="64">
        <v>6.0000000000000036</v>
      </c>
      <c r="U276" s="67" t="e">
        <f t="shared" ca="1" si="126"/>
        <v>#DIV/0!</v>
      </c>
      <c r="V276" s="67">
        <f t="shared" ca="1" si="127"/>
        <v>0.5</v>
      </c>
      <c r="W276" s="69">
        <f t="shared" si="128"/>
        <v>1.2631578947368429</v>
      </c>
      <c r="X276" s="69">
        <f t="shared" si="129"/>
        <v>0.63157894736842146</v>
      </c>
      <c r="Y276" s="69">
        <f t="shared" si="130"/>
        <v>0.56140350877193024</v>
      </c>
      <c r="Z276" s="69">
        <f t="shared" si="131"/>
        <v>0.7017543859649128</v>
      </c>
      <c r="AA276" s="69">
        <f t="shared" si="132"/>
        <v>0.3508771929824564</v>
      </c>
      <c r="AB276" s="69">
        <f t="shared" si="133"/>
        <v>0.4912280701754389</v>
      </c>
      <c r="AC276" s="69">
        <f t="shared" si="134"/>
        <v>0</v>
      </c>
      <c r="AD276" s="70">
        <f t="shared" si="135"/>
        <v>0.63157894736842146</v>
      </c>
      <c r="AE276" s="71">
        <f t="shared" si="136"/>
        <v>0.5</v>
      </c>
      <c r="AF276" s="71">
        <f t="shared" ca="1" si="137"/>
        <v>0.5</v>
      </c>
      <c r="AG276" s="72">
        <f t="shared" ca="1" si="138"/>
        <v>0.5</v>
      </c>
      <c r="AH276" s="177">
        <f t="shared" si="139"/>
        <v>4.6315789473684239</v>
      </c>
      <c r="AI276" s="185">
        <f t="shared" ca="1" si="140"/>
        <v>23.15789473684212</v>
      </c>
      <c r="AJ276" s="179" t="str">
        <f t="shared" ca="1" si="125"/>
        <v>Q4</v>
      </c>
      <c r="AK276" s="90" t="s">
        <v>329</v>
      </c>
      <c r="AL276" s="195"/>
      <c r="AM276" s="103"/>
      <c r="AN276" s="103"/>
      <c r="AO276" s="103"/>
      <c r="AP276" s="108"/>
      <c r="AQ276" s="299"/>
      <c r="AR276" s="295"/>
      <c r="AS276" s="164"/>
      <c r="AT276" s="164"/>
      <c r="AU276" s="320"/>
      <c r="AV276" s="324"/>
      <c r="AW276" s="89"/>
    </row>
    <row r="277" spans="1:49" ht="36" customHeight="1">
      <c r="A277" s="5">
        <v>367</v>
      </c>
      <c r="B277" s="229">
        <v>273</v>
      </c>
      <c r="C277" s="14" t="s">
        <v>35</v>
      </c>
      <c r="D277" s="168" t="s">
        <v>383</v>
      </c>
      <c r="E277" s="10" t="s">
        <v>272</v>
      </c>
      <c r="F277" s="22" t="s">
        <v>755</v>
      </c>
      <c r="G277" s="106" t="s">
        <v>169</v>
      </c>
      <c r="H277" s="213">
        <v>146000</v>
      </c>
      <c r="I277" s="51">
        <v>5</v>
      </c>
      <c r="J277" s="56">
        <v>0.5</v>
      </c>
      <c r="K277" s="50"/>
      <c r="L277" s="57"/>
      <c r="M277" s="62">
        <v>3</v>
      </c>
      <c r="N277" s="63">
        <v>4.0000000000000027</v>
      </c>
      <c r="O277" s="63">
        <v>3</v>
      </c>
      <c r="P277" s="63">
        <v>8</v>
      </c>
      <c r="Q277" s="63">
        <v>6</v>
      </c>
      <c r="R277" s="63">
        <v>5</v>
      </c>
      <c r="S277" s="63">
        <v>0</v>
      </c>
      <c r="T277" s="64">
        <v>7</v>
      </c>
      <c r="U277" s="67" t="e">
        <f t="shared" ca="1" si="126"/>
        <v>#DIV/0!</v>
      </c>
      <c r="V277" s="67">
        <f t="shared" ca="1" si="127"/>
        <v>0.5</v>
      </c>
      <c r="W277" s="69">
        <f t="shared" si="128"/>
        <v>0.47368421052631576</v>
      </c>
      <c r="X277" s="69">
        <f t="shared" si="129"/>
        <v>0.42105263157894762</v>
      </c>
      <c r="Y277" s="69">
        <f t="shared" si="130"/>
        <v>0.42105263157894735</v>
      </c>
      <c r="Z277" s="69">
        <f t="shared" si="131"/>
        <v>1.4035087719298245</v>
      </c>
      <c r="AA277" s="69">
        <f t="shared" si="132"/>
        <v>0.52631578947368418</v>
      </c>
      <c r="AB277" s="69">
        <f t="shared" si="133"/>
        <v>0.61403508771929827</v>
      </c>
      <c r="AC277" s="69">
        <f t="shared" si="134"/>
        <v>0</v>
      </c>
      <c r="AD277" s="70">
        <f t="shared" si="135"/>
        <v>0.73684210526315785</v>
      </c>
      <c r="AE277" s="71">
        <f t="shared" si="136"/>
        <v>0.5</v>
      </c>
      <c r="AF277" s="71">
        <f t="shared" ca="1" si="137"/>
        <v>0.5</v>
      </c>
      <c r="AG277" s="72">
        <f t="shared" ca="1" si="138"/>
        <v>0.5</v>
      </c>
      <c r="AH277" s="177">
        <f t="shared" si="139"/>
        <v>4.5964912280701755</v>
      </c>
      <c r="AI277" s="185">
        <f t="shared" ca="1" si="140"/>
        <v>22.982456140350877</v>
      </c>
      <c r="AJ277" s="179" t="str">
        <f t="shared" ref="AJ277:AJ284" ca="1" si="141">IF(AG277&gt;$AG$2,IF(AH277&gt;$AH$2,"Q1","Q2"),IF(AH277&gt;$AH$2,"Q3","Q4"))</f>
        <v>Q4</v>
      </c>
      <c r="AK277" s="90" t="s">
        <v>338</v>
      </c>
      <c r="AL277" s="195"/>
      <c r="AM277" s="103"/>
      <c r="AN277" s="103"/>
      <c r="AO277" s="103"/>
      <c r="AP277" s="108"/>
      <c r="AQ277" s="299"/>
      <c r="AR277" s="295"/>
      <c r="AS277" s="164"/>
      <c r="AT277" s="164"/>
      <c r="AU277" s="320"/>
      <c r="AV277" s="324"/>
      <c r="AW277" s="89"/>
    </row>
    <row r="278" spans="1:49" ht="36" customHeight="1">
      <c r="A278" s="5">
        <v>344</v>
      </c>
      <c r="B278" s="229">
        <v>274</v>
      </c>
      <c r="C278" s="6" t="s">
        <v>20</v>
      </c>
      <c r="D278" s="133" t="s">
        <v>7</v>
      </c>
      <c r="E278" s="18" t="s">
        <v>312</v>
      </c>
      <c r="F278" s="19" t="s">
        <v>450</v>
      </c>
      <c r="G278" s="20" t="s">
        <v>313</v>
      </c>
      <c r="H278" s="215">
        <v>91000</v>
      </c>
      <c r="I278" s="51">
        <v>5</v>
      </c>
      <c r="J278" s="56">
        <v>0.6</v>
      </c>
      <c r="K278" s="50"/>
      <c r="L278" s="57"/>
      <c r="M278" s="62">
        <v>6.0000000000000036</v>
      </c>
      <c r="N278" s="63">
        <v>1</v>
      </c>
      <c r="O278" s="63">
        <v>8.0000000000000053</v>
      </c>
      <c r="P278" s="63">
        <v>4.0000000000000027</v>
      </c>
      <c r="Q278" s="63">
        <v>8.0000000000000053</v>
      </c>
      <c r="R278" s="63">
        <v>1</v>
      </c>
      <c r="S278" s="63">
        <v>4</v>
      </c>
      <c r="T278" s="64">
        <v>6.0000000000000036</v>
      </c>
      <c r="U278" s="67" t="e">
        <f t="shared" ca="1" si="126"/>
        <v>#DIV/0!</v>
      </c>
      <c r="V278" s="67">
        <f t="shared" ca="1" si="127"/>
        <v>0.6</v>
      </c>
      <c r="W278" s="69">
        <f t="shared" si="128"/>
        <v>0.94736842105263208</v>
      </c>
      <c r="X278" s="69">
        <f t="shared" si="129"/>
        <v>0.10526315789473684</v>
      </c>
      <c r="Y278" s="69">
        <f t="shared" si="130"/>
        <v>1.1228070175438605</v>
      </c>
      <c r="Z278" s="69">
        <f t="shared" si="131"/>
        <v>0.7017543859649128</v>
      </c>
      <c r="AA278" s="69">
        <f t="shared" si="132"/>
        <v>0.7017543859649128</v>
      </c>
      <c r="AB278" s="69">
        <f t="shared" si="133"/>
        <v>0.12280701754385964</v>
      </c>
      <c r="AC278" s="69">
        <f t="shared" si="134"/>
        <v>0.42105263157894735</v>
      </c>
      <c r="AD278" s="70">
        <f t="shared" si="135"/>
        <v>0.63157894736842146</v>
      </c>
      <c r="AE278" s="71">
        <f t="shared" si="136"/>
        <v>0.5</v>
      </c>
      <c r="AF278" s="71">
        <f t="shared" ca="1" si="137"/>
        <v>0.4</v>
      </c>
      <c r="AG278" s="72">
        <f t="shared" ca="1" si="138"/>
        <v>0.46666666666666662</v>
      </c>
      <c r="AH278" s="177">
        <f t="shared" si="139"/>
        <v>4.7543859649122826</v>
      </c>
      <c r="AI278" s="185">
        <f t="shared" ca="1" si="140"/>
        <v>22.187134502923982</v>
      </c>
      <c r="AJ278" s="179" t="str">
        <f t="shared" ca="1" si="141"/>
        <v>Q4</v>
      </c>
      <c r="AK278" s="90" t="s">
        <v>329</v>
      </c>
      <c r="AL278" s="194"/>
      <c r="AM278" s="103"/>
      <c r="AN278" s="103"/>
      <c r="AO278" s="103"/>
      <c r="AP278" s="108"/>
      <c r="AQ278" s="299"/>
      <c r="AR278" s="295"/>
      <c r="AS278" s="164"/>
      <c r="AT278" s="164"/>
      <c r="AU278" s="320"/>
      <c r="AV278" s="324"/>
      <c r="AW278" s="89"/>
    </row>
    <row r="279" spans="1:49" ht="36" customHeight="1">
      <c r="A279" s="5"/>
      <c r="B279" s="229">
        <v>275</v>
      </c>
      <c r="C279" s="6" t="s">
        <v>8</v>
      </c>
      <c r="D279" s="133" t="s">
        <v>7</v>
      </c>
      <c r="E279" s="18" t="s">
        <v>547</v>
      </c>
      <c r="F279" s="20" t="s">
        <v>682</v>
      </c>
      <c r="G279" s="20" t="s">
        <v>301</v>
      </c>
      <c r="H279" s="310">
        <v>265000</v>
      </c>
      <c r="I279" s="142">
        <v>2</v>
      </c>
      <c r="J279" s="139">
        <v>0.1</v>
      </c>
      <c r="K279" s="138"/>
      <c r="L279" s="140"/>
      <c r="M279" s="62">
        <v>1</v>
      </c>
      <c r="N279" s="63">
        <v>4.0000000000000027</v>
      </c>
      <c r="O279" s="63">
        <v>1</v>
      </c>
      <c r="P279" s="63">
        <v>7</v>
      </c>
      <c r="Q279" s="63">
        <v>1</v>
      </c>
      <c r="R279" s="63">
        <v>4.0000000000000027</v>
      </c>
      <c r="S279" s="63">
        <v>0</v>
      </c>
      <c r="T279" s="64">
        <v>1</v>
      </c>
      <c r="U279" s="67" t="e">
        <f t="shared" ca="1" si="126"/>
        <v>#DIV/0!</v>
      </c>
      <c r="V279" s="67">
        <f t="shared" ca="1" si="127"/>
        <v>0.1</v>
      </c>
      <c r="W279" s="69">
        <f t="shared" si="128"/>
        <v>0.15789473684210525</v>
      </c>
      <c r="X279" s="69">
        <f t="shared" si="129"/>
        <v>0.42105263157894762</v>
      </c>
      <c r="Y279" s="69">
        <f t="shared" si="130"/>
        <v>0.14035087719298245</v>
      </c>
      <c r="Z279" s="69">
        <f t="shared" si="131"/>
        <v>1.2280701754385965</v>
      </c>
      <c r="AA279" s="69">
        <f t="shared" si="132"/>
        <v>8.771929824561403E-2</v>
      </c>
      <c r="AB279" s="69">
        <f t="shared" si="133"/>
        <v>0.4912280701754389</v>
      </c>
      <c r="AC279" s="69">
        <f t="shared" si="134"/>
        <v>0</v>
      </c>
      <c r="AD279" s="70">
        <f t="shared" si="135"/>
        <v>0.10526315789473684</v>
      </c>
      <c r="AE279" s="71">
        <f t="shared" si="136"/>
        <v>0.8</v>
      </c>
      <c r="AF279" s="71">
        <f t="shared" ca="1" si="137"/>
        <v>0.9</v>
      </c>
      <c r="AG279" s="72">
        <f t="shared" ca="1" si="138"/>
        <v>0.83333333333333337</v>
      </c>
      <c r="AH279" s="177">
        <f t="shared" si="139"/>
        <v>2.6315789473684212</v>
      </c>
      <c r="AI279" s="185">
        <f t="shared" ca="1" si="140"/>
        <v>21.92982456140351</v>
      </c>
      <c r="AJ279" s="179" t="str">
        <f t="shared" ca="1" si="141"/>
        <v>Q2</v>
      </c>
      <c r="AK279" s="90" t="s">
        <v>662</v>
      </c>
      <c r="AL279" s="195"/>
      <c r="AM279" s="107"/>
      <c r="AN279" s="107"/>
      <c r="AO279" s="107"/>
      <c r="AP279" s="107"/>
      <c r="AQ279" s="303"/>
      <c r="AR279" s="296"/>
      <c r="AS279" s="166"/>
      <c r="AT279" s="166"/>
      <c r="AU279" s="322"/>
      <c r="AV279" s="324"/>
      <c r="AW279" s="89"/>
    </row>
    <row r="280" spans="1:49" ht="36" customHeight="1">
      <c r="A280" s="153">
        <v>323</v>
      </c>
      <c r="B280" s="229">
        <v>276</v>
      </c>
      <c r="C280" s="259" t="s">
        <v>25</v>
      </c>
      <c r="D280" s="257"/>
      <c r="E280" s="10" t="s">
        <v>685</v>
      </c>
      <c r="F280" s="11" t="s">
        <v>687</v>
      </c>
      <c r="G280" s="258"/>
      <c r="H280" s="219">
        <v>300000</v>
      </c>
      <c r="I280" s="51">
        <v>6</v>
      </c>
      <c r="J280" s="56">
        <v>0.6</v>
      </c>
      <c r="K280" s="50"/>
      <c r="L280" s="57"/>
      <c r="M280" s="62">
        <v>9</v>
      </c>
      <c r="N280" s="63">
        <v>7</v>
      </c>
      <c r="O280" s="63">
        <v>5</v>
      </c>
      <c r="P280" s="63">
        <v>4</v>
      </c>
      <c r="Q280" s="63">
        <v>1</v>
      </c>
      <c r="R280" s="63">
        <v>7</v>
      </c>
      <c r="S280" s="63">
        <v>1</v>
      </c>
      <c r="T280" s="64">
        <v>8</v>
      </c>
      <c r="U280" s="67" t="e">
        <f t="shared" ca="1" si="126"/>
        <v>#DIV/0!</v>
      </c>
      <c r="V280" s="67">
        <f t="shared" ca="1" si="127"/>
        <v>0.6</v>
      </c>
      <c r="W280" s="69">
        <f t="shared" si="128"/>
        <v>1.4210526315789473</v>
      </c>
      <c r="X280" s="69">
        <f t="shared" si="129"/>
        <v>0.73684210526315785</v>
      </c>
      <c r="Y280" s="69">
        <f t="shared" si="130"/>
        <v>0.70175438596491224</v>
      </c>
      <c r="Z280" s="69">
        <f t="shared" si="131"/>
        <v>0.70175438596491224</v>
      </c>
      <c r="AA280" s="69">
        <f t="shared" si="132"/>
        <v>8.771929824561403E-2</v>
      </c>
      <c r="AB280" s="69">
        <f t="shared" si="133"/>
        <v>0.85964912280701755</v>
      </c>
      <c r="AC280" s="69">
        <f t="shared" si="134"/>
        <v>0.10526315789473684</v>
      </c>
      <c r="AD280" s="70">
        <f t="shared" si="135"/>
        <v>0.84210526315789469</v>
      </c>
      <c r="AE280" s="71">
        <f t="shared" si="136"/>
        <v>0.39999999999999991</v>
      </c>
      <c r="AF280" s="71">
        <f t="shared" ca="1" si="137"/>
        <v>0.4</v>
      </c>
      <c r="AG280" s="72">
        <f t="shared" ca="1" si="138"/>
        <v>0.39999999999999991</v>
      </c>
      <c r="AH280" s="177">
        <f t="shared" si="139"/>
        <v>5.4561403508771935</v>
      </c>
      <c r="AI280" s="185">
        <f t="shared" ca="1" si="140"/>
        <v>21.824561403508767</v>
      </c>
      <c r="AJ280" s="179" t="str">
        <f t="shared" ca="1" si="141"/>
        <v>Q4</v>
      </c>
      <c r="AK280" s="90" t="s">
        <v>329</v>
      </c>
      <c r="AL280" s="100"/>
      <c r="AM280" s="269"/>
      <c r="AN280" s="103"/>
      <c r="AO280" s="103"/>
      <c r="AP280" s="108"/>
      <c r="AQ280" s="299"/>
      <c r="AR280" s="165"/>
      <c r="AS280" s="164"/>
      <c r="AT280" s="164"/>
      <c r="AU280" s="320"/>
      <c r="AV280" s="324"/>
      <c r="AW280" s="89"/>
    </row>
    <row r="281" spans="1:49" ht="36" customHeight="1">
      <c r="A281" s="153">
        <v>327</v>
      </c>
      <c r="B281" s="229">
        <v>277</v>
      </c>
      <c r="C281" s="14" t="s">
        <v>18</v>
      </c>
      <c r="D281" s="168" t="s">
        <v>383</v>
      </c>
      <c r="E281" s="12" t="s">
        <v>285</v>
      </c>
      <c r="F281" s="22" t="s">
        <v>286</v>
      </c>
      <c r="G281" s="102" t="s">
        <v>287</v>
      </c>
      <c r="H281" s="213">
        <v>640000</v>
      </c>
      <c r="I281" s="51">
        <v>5</v>
      </c>
      <c r="J281" s="56">
        <v>0.5</v>
      </c>
      <c r="K281" s="50"/>
      <c r="L281" s="57"/>
      <c r="M281" s="62">
        <v>4.0000000000000027</v>
      </c>
      <c r="N281" s="63">
        <v>6</v>
      </c>
      <c r="O281" s="63">
        <v>2</v>
      </c>
      <c r="P281" s="63">
        <v>5</v>
      </c>
      <c r="Q281" s="63">
        <v>2</v>
      </c>
      <c r="R281" s="63">
        <v>6</v>
      </c>
      <c r="S281" s="63">
        <v>0</v>
      </c>
      <c r="T281" s="64">
        <v>6</v>
      </c>
      <c r="U281" s="67" t="e">
        <f t="shared" ca="1" si="126"/>
        <v>#DIV/0!</v>
      </c>
      <c r="V281" s="67">
        <f t="shared" ca="1" si="127"/>
        <v>0.5</v>
      </c>
      <c r="W281" s="69">
        <f t="shared" si="128"/>
        <v>0.63157894736842146</v>
      </c>
      <c r="X281" s="69">
        <f t="shared" si="129"/>
        <v>0.63157894736842102</v>
      </c>
      <c r="Y281" s="69">
        <f t="shared" si="130"/>
        <v>0.2807017543859649</v>
      </c>
      <c r="Z281" s="69">
        <f t="shared" si="131"/>
        <v>0.8771929824561403</v>
      </c>
      <c r="AA281" s="69">
        <f t="shared" si="132"/>
        <v>0.17543859649122806</v>
      </c>
      <c r="AB281" s="69">
        <f t="shared" si="133"/>
        <v>0.73684210526315785</v>
      </c>
      <c r="AC281" s="69">
        <f t="shared" si="134"/>
        <v>0</v>
      </c>
      <c r="AD281" s="70">
        <f t="shared" si="135"/>
        <v>0.63157894736842102</v>
      </c>
      <c r="AE281" s="71">
        <f t="shared" si="136"/>
        <v>0.5</v>
      </c>
      <c r="AF281" s="71">
        <f t="shared" ca="1" si="137"/>
        <v>0.5</v>
      </c>
      <c r="AG281" s="72">
        <f t="shared" ca="1" si="138"/>
        <v>0.5</v>
      </c>
      <c r="AH281" s="177">
        <f t="shared" si="139"/>
        <v>3.9649122807017552</v>
      </c>
      <c r="AI281" s="185">
        <f t="shared" ca="1" si="140"/>
        <v>19.824561403508774</v>
      </c>
      <c r="AJ281" s="179" t="str">
        <f t="shared" ca="1" si="141"/>
        <v>Q4</v>
      </c>
      <c r="AK281" s="90" t="s">
        <v>338</v>
      </c>
      <c r="AL281" s="272">
        <v>52000</v>
      </c>
      <c r="AM281" s="268"/>
      <c r="AN281" s="103"/>
      <c r="AO281" s="103"/>
      <c r="AP281" s="108"/>
      <c r="AQ281" s="299"/>
      <c r="AR281" s="327"/>
      <c r="AS281" s="164"/>
      <c r="AT281" s="164"/>
      <c r="AU281" s="320"/>
      <c r="AV281" s="324"/>
      <c r="AW281" s="89"/>
    </row>
    <row r="282" spans="1:49" ht="36" customHeight="1">
      <c r="A282" s="153">
        <v>315</v>
      </c>
      <c r="B282" s="229">
        <v>278</v>
      </c>
      <c r="C282" s="14" t="s">
        <v>20</v>
      </c>
      <c r="D282" s="168" t="s">
        <v>7</v>
      </c>
      <c r="E282" s="7" t="s">
        <v>314</v>
      </c>
      <c r="F282" s="8" t="s">
        <v>535</v>
      </c>
      <c r="G282" s="8" t="s">
        <v>563</v>
      </c>
      <c r="H282" s="213">
        <v>147000</v>
      </c>
      <c r="I282" s="51">
        <v>3</v>
      </c>
      <c r="J282" s="56">
        <v>0</v>
      </c>
      <c r="K282" s="50"/>
      <c r="L282" s="57"/>
      <c r="M282" s="62">
        <v>4.0000000000000027</v>
      </c>
      <c r="N282" s="63">
        <v>1</v>
      </c>
      <c r="O282" s="63">
        <v>1</v>
      </c>
      <c r="P282" s="63">
        <v>4.0000000000000027</v>
      </c>
      <c r="Q282" s="63">
        <v>4.0000000000000027</v>
      </c>
      <c r="R282" s="63">
        <v>1</v>
      </c>
      <c r="S282" s="63">
        <v>1</v>
      </c>
      <c r="T282" s="64">
        <v>1</v>
      </c>
      <c r="U282" s="67" t="e">
        <f t="shared" ca="1" si="126"/>
        <v>#DIV/0!</v>
      </c>
      <c r="V282" s="67">
        <f t="shared" ca="1" si="127"/>
        <v>0</v>
      </c>
      <c r="W282" s="69">
        <f t="shared" si="128"/>
        <v>0.63157894736842146</v>
      </c>
      <c r="X282" s="69">
        <f t="shared" si="129"/>
        <v>0.10526315789473684</v>
      </c>
      <c r="Y282" s="69">
        <f t="shared" si="130"/>
        <v>0.14035087719298245</v>
      </c>
      <c r="Z282" s="69">
        <f t="shared" si="131"/>
        <v>0.7017543859649128</v>
      </c>
      <c r="AA282" s="69">
        <f t="shared" si="132"/>
        <v>0.3508771929824564</v>
      </c>
      <c r="AB282" s="69">
        <f t="shared" si="133"/>
        <v>0.12280701754385964</v>
      </c>
      <c r="AC282" s="69">
        <f t="shared" si="134"/>
        <v>0.10526315789473684</v>
      </c>
      <c r="AD282" s="70">
        <f t="shared" si="135"/>
        <v>0.10526315789473684</v>
      </c>
      <c r="AE282" s="71">
        <f t="shared" si="136"/>
        <v>0.7</v>
      </c>
      <c r="AF282" s="71">
        <f t="shared" ca="1" si="137"/>
        <v>1</v>
      </c>
      <c r="AG282" s="72">
        <f t="shared" ca="1" si="138"/>
        <v>0.79999999999999993</v>
      </c>
      <c r="AH282" s="177">
        <f t="shared" si="139"/>
        <v>2.2631578947368429</v>
      </c>
      <c r="AI282" s="185">
        <f t="shared" ca="1" si="140"/>
        <v>18.105263157894743</v>
      </c>
      <c r="AJ282" s="179" t="str">
        <f t="shared" ca="1" si="141"/>
        <v>Q2</v>
      </c>
      <c r="AK282" s="90" t="s">
        <v>329</v>
      </c>
      <c r="AL282" s="101"/>
      <c r="AM282" s="268"/>
      <c r="AN282" s="103"/>
      <c r="AO282" s="103"/>
      <c r="AP282" s="108"/>
      <c r="AQ282" s="299"/>
      <c r="AR282" s="327"/>
      <c r="AS282" s="164"/>
      <c r="AT282" s="164"/>
      <c r="AU282" s="320"/>
      <c r="AV282" s="324"/>
      <c r="AW282" s="89"/>
    </row>
    <row r="283" spans="1:49" ht="36" customHeight="1">
      <c r="A283" s="153">
        <v>369</v>
      </c>
      <c r="B283" s="229">
        <v>279</v>
      </c>
      <c r="C283" s="14" t="s">
        <v>35</v>
      </c>
      <c r="D283" s="168" t="s">
        <v>383</v>
      </c>
      <c r="E283" s="12" t="s">
        <v>279</v>
      </c>
      <c r="F283" s="22" t="s">
        <v>280</v>
      </c>
      <c r="G283" s="106" t="s">
        <v>281</v>
      </c>
      <c r="H283" s="213">
        <v>406600</v>
      </c>
      <c r="I283" s="51">
        <v>3</v>
      </c>
      <c r="J283" s="56">
        <v>0.3</v>
      </c>
      <c r="K283" s="50"/>
      <c r="L283" s="57"/>
      <c r="M283" s="62">
        <v>2</v>
      </c>
      <c r="N283" s="63">
        <v>3</v>
      </c>
      <c r="O283" s="63">
        <v>0</v>
      </c>
      <c r="P283" s="63">
        <v>4.0000000000000027</v>
      </c>
      <c r="Q283" s="63">
        <v>1</v>
      </c>
      <c r="R283" s="63">
        <v>4</v>
      </c>
      <c r="S283" s="63">
        <v>0</v>
      </c>
      <c r="T283" s="64">
        <v>6</v>
      </c>
      <c r="U283" s="67" t="e">
        <f t="shared" ca="1" si="126"/>
        <v>#DIV/0!</v>
      </c>
      <c r="V283" s="67">
        <f t="shared" ca="1" si="127"/>
        <v>0.3</v>
      </c>
      <c r="W283" s="69">
        <f t="shared" si="128"/>
        <v>0.31578947368421051</v>
      </c>
      <c r="X283" s="69">
        <f t="shared" si="129"/>
        <v>0.31578947368421051</v>
      </c>
      <c r="Y283" s="69">
        <f t="shared" si="130"/>
        <v>0</v>
      </c>
      <c r="Z283" s="69">
        <f t="shared" si="131"/>
        <v>0.7017543859649128</v>
      </c>
      <c r="AA283" s="69">
        <f t="shared" si="132"/>
        <v>8.771929824561403E-2</v>
      </c>
      <c r="AB283" s="69">
        <f t="shared" si="133"/>
        <v>0.49122807017543857</v>
      </c>
      <c r="AC283" s="69">
        <f t="shared" si="134"/>
        <v>0</v>
      </c>
      <c r="AD283" s="70">
        <f t="shared" si="135"/>
        <v>0.63157894736842102</v>
      </c>
      <c r="AE283" s="71">
        <f t="shared" si="136"/>
        <v>0.7</v>
      </c>
      <c r="AF283" s="71">
        <f t="shared" ca="1" si="137"/>
        <v>0.7</v>
      </c>
      <c r="AG283" s="72">
        <f t="shared" ca="1" si="138"/>
        <v>0.69999999999999984</v>
      </c>
      <c r="AH283" s="177">
        <f t="shared" si="139"/>
        <v>2.5438596491228074</v>
      </c>
      <c r="AI283" s="185">
        <f t="shared" ca="1" si="140"/>
        <v>17.807017543859647</v>
      </c>
      <c r="AJ283" s="179" t="str">
        <f t="shared" ca="1" si="141"/>
        <v>Q4</v>
      </c>
      <c r="AK283" s="90" t="s">
        <v>338</v>
      </c>
      <c r="AL283" s="195"/>
      <c r="AM283" s="103"/>
      <c r="AN283" s="103"/>
      <c r="AO283" s="103"/>
      <c r="AP283" s="108"/>
      <c r="AQ283" s="299"/>
      <c r="AR283" s="295"/>
      <c r="AS283" s="164"/>
      <c r="AT283" s="164"/>
      <c r="AU283" s="320"/>
      <c r="AV283" s="324"/>
      <c r="AW283" s="89"/>
    </row>
    <row r="284" spans="1:49" ht="36" customHeight="1">
      <c r="A284" s="5">
        <v>377</v>
      </c>
      <c r="B284" s="229">
        <v>280</v>
      </c>
      <c r="C284" s="14" t="s">
        <v>20</v>
      </c>
      <c r="D284" s="168" t="s">
        <v>7</v>
      </c>
      <c r="E284" s="12" t="s">
        <v>689</v>
      </c>
      <c r="F284" s="22" t="s">
        <v>690</v>
      </c>
      <c r="G284" s="13" t="s">
        <v>305</v>
      </c>
      <c r="H284" s="213">
        <v>150000</v>
      </c>
      <c r="I284" s="142">
        <v>5</v>
      </c>
      <c r="J284" s="139">
        <v>0.4</v>
      </c>
      <c r="K284" s="138"/>
      <c r="L284" s="140"/>
      <c r="M284" s="62">
        <v>5.0000000000000027</v>
      </c>
      <c r="N284" s="63">
        <v>3</v>
      </c>
      <c r="O284" s="63">
        <v>3</v>
      </c>
      <c r="P284" s="63">
        <v>1</v>
      </c>
      <c r="Q284" s="63">
        <v>4</v>
      </c>
      <c r="R284" s="63">
        <v>2</v>
      </c>
      <c r="S284" s="63">
        <v>0</v>
      </c>
      <c r="T284" s="64">
        <v>5.0000000000000027</v>
      </c>
      <c r="U284" s="67" t="e">
        <f t="shared" ca="1" si="126"/>
        <v>#DIV/0!</v>
      </c>
      <c r="V284" s="67">
        <f t="shared" ca="1" si="127"/>
        <v>0.4</v>
      </c>
      <c r="W284" s="69">
        <f t="shared" si="128"/>
        <v>0.78947368421052666</v>
      </c>
      <c r="X284" s="69">
        <f t="shared" si="129"/>
        <v>0.31578947368421051</v>
      </c>
      <c r="Y284" s="69">
        <f t="shared" si="130"/>
        <v>0.42105263157894735</v>
      </c>
      <c r="Z284" s="69">
        <f t="shared" si="131"/>
        <v>0.17543859649122806</v>
      </c>
      <c r="AA284" s="69">
        <f t="shared" si="132"/>
        <v>0.35087719298245612</v>
      </c>
      <c r="AB284" s="69">
        <f t="shared" si="133"/>
        <v>0.24561403508771928</v>
      </c>
      <c r="AC284" s="69">
        <f t="shared" si="134"/>
        <v>0</v>
      </c>
      <c r="AD284" s="70">
        <f t="shared" si="135"/>
        <v>0.52631578947368451</v>
      </c>
      <c r="AE284" s="71">
        <f t="shared" si="136"/>
        <v>0.5</v>
      </c>
      <c r="AF284" s="71">
        <f t="shared" ca="1" si="137"/>
        <v>0.6</v>
      </c>
      <c r="AG284" s="72">
        <f t="shared" ca="1" si="138"/>
        <v>0.53333333333333333</v>
      </c>
      <c r="AH284" s="177">
        <f t="shared" si="139"/>
        <v>2.8245614035087727</v>
      </c>
      <c r="AI284" s="185">
        <f t="shared" ca="1" si="140"/>
        <v>15.064327485380121</v>
      </c>
      <c r="AJ284" s="179" t="str">
        <f t="shared" ca="1" si="141"/>
        <v>Q4</v>
      </c>
      <c r="AK284" s="90" t="s">
        <v>329</v>
      </c>
      <c r="AL284" s="194"/>
      <c r="AM284" s="103"/>
      <c r="AN284" s="103"/>
      <c r="AO284" s="103"/>
      <c r="AP284" s="108"/>
      <c r="AQ284" s="299"/>
      <c r="AR284" s="295"/>
      <c r="AS284" s="164"/>
      <c r="AT284" s="164"/>
      <c r="AU284" s="320"/>
      <c r="AV284" s="324"/>
      <c r="AW284" s="89"/>
    </row>
    <row r="285" spans="1:49">
      <c r="F285" s="198" t="s">
        <v>691</v>
      </c>
      <c r="H285" s="319">
        <f ca="1">SUM(H4:H284)</f>
        <v>315038997</v>
      </c>
      <c r="AM285" s="125">
        <f t="shared" ref="AM285:AV285" si="142">SUM(AM5:AM284)</f>
        <v>49429015</v>
      </c>
      <c r="AN285" s="125">
        <f t="shared" si="142"/>
        <v>70619125</v>
      </c>
      <c r="AO285" s="125">
        <f t="shared" si="142"/>
        <v>58122500</v>
      </c>
      <c r="AP285" s="125">
        <f t="shared" si="142"/>
        <v>34929818</v>
      </c>
      <c r="AQ285" s="125">
        <f t="shared" si="142"/>
        <v>13764600</v>
      </c>
      <c r="AR285" s="125">
        <f>SUM(AR5:AR284)</f>
        <v>49429015</v>
      </c>
      <c r="AS285" s="125">
        <f t="shared" si="142"/>
        <v>72428226.375</v>
      </c>
      <c r="AT285" s="125">
        <f t="shared" si="142"/>
        <v>62504465.062499993</v>
      </c>
      <c r="AU285" s="125">
        <f t="shared" si="142"/>
        <v>38704817.862096734</v>
      </c>
      <c r="AV285" s="125">
        <f t="shared" si="142"/>
        <v>15373204.875281245</v>
      </c>
    </row>
    <row r="286" spans="1:49">
      <c r="F286" s="198" t="s">
        <v>692</v>
      </c>
      <c r="H286" s="125">
        <f>SUM(AM285:AQ285)</f>
        <v>226865058</v>
      </c>
      <c r="AR286" s="335" t="s">
        <v>416</v>
      </c>
      <c r="AS286" s="336"/>
      <c r="AT286" s="336"/>
      <c r="AU286" s="336"/>
      <c r="AV286" s="336"/>
    </row>
    <row r="287" spans="1:49" ht="18.75" customHeight="1">
      <c r="F287" s="198" t="s">
        <v>766</v>
      </c>
      <c r="H287" s="333"/>
      <c r="AN287" s="282" t="s">
        <v>416</v>
      </c>
    </row>
    <row r="288" spans="1:49">
      <c r="F288" s="92"/>
      <c r="H288" s="334"/>
      <c r="AR288" s="197"/>
    </row>
    <row r="289" spans="6:43">
      <c r="F289" s="198"/>
      <c r="H289" s="127"/>
      <c r="AM289" s="282" t="s">
        <v>416</v>
      </c>
      <c r="AN289" s="282" t="s">
        <v>416</v>
      </c>
      <c r="AO289" s="282" t="s">
        <v>416</v>
      </c>
      <c r="AP289" s="282" t="s">
        <v>416</v>
      </c>
      <c r="AQ289" s="282" t="s">
        <v>416</v>
      </c>
    </row>
    <row r="290" spans="6:43">
      <c r="F290" s="198"/>
      <c r="H290" s="127"/>
      <c r="AM290" s="282" t="s">
        <v>416</v>
      </c>
    </row>
    <row r="291" spans="6:43" ht="15.75">
      <c r="F291" s="198"/>
      <c r="M291" s="58"/>
      <c r="N291" s="58"/>
      <c r="O291" s="58"/>
      <c r="P291" s="58"/>
      <c r="Q291" s="58"/>
      <c r="R291" s="58"/>
      <c r="S291" s="58"/>
      <c r="T291" s="58"/>
    </row>
    <row r="292" spans="6:43" ht="15.75">
      <c r="F292" s="198"/>
      <c r="H292" s="284"/>
      <c r="M292" s="58"/>
      <c r="N292" s="58"/>
      <c r="O292" s="58"/>
      <c r="P292" s="58"/>
      <c r="Q292" s="58"/>
      <c r="R292" s="58"/>
      <c r="S292" s="58"/>
      <c r="T292" s="58"/>
    </row>
    <row r="293" spans="6:43" ht="15.75">
      <c r="F293" s="198"/>
      <c r="H293" s="99"/>
      <c r="M293" s="59"/>
      <c r="N293" s="59"/>
      <c r="O293" s="59"/>
      <c r="P293" s="59"/>
      <c r="Q293" s="59"/>
      <c r="R293" s="59"/>
      <c r="S293" s="59"/>
      <c r="T293" s="59"/>
      <c r="AI293" s="283"/>
    </row>
    <row r="294" spans="6:43">
      <c r="M294" s="60"/>
      <c r="N294" s="60"/>
      <c r="O294" s="60"/>
      <c r="P294" s="60"/>
      <c r="Q294" s="60"/>
      <c r="R294" s="60"/>
      <c r="S294" s="60"/>
      <c r="T294" s="61"/>
    </row>
  </sheetData>
  <autoFilter ref="A4:AW284" xr:uid="{00000000-0009-0000-0000-000000000000}">
    <sortState xmlns:xlrd2="http://schemas.microsoft.com/office/spreadsheetml/2017/richdata2" ref="A5:AW292">
      <sortCondition descending="1" ref="AI5:AI329"/>
    </sortState>
  </autoFilter>
  <sortState xmlns:xlrd2="http://schemas.microsoft.com/office/spreadsheetml/2017/richdata2" ref="B5:AQ282">
    <sortCondition descending="1" ref="AI5:AI282"/>
  </sortState>
  <mergeCells count="8">
    <mergeCell ref="AR286:AV286"/>
    <mergeCell ref="AR1:AV1"/>
    <mergeCell ref="AM2:AP2"/>
    <mergeCell ref="AM3:AP3"/>
    <mergeCell ref="K1:L1"/>
    <mergeCell ref="J2:L2"/>
    <mergeCell ref="J3:L3"/>
    <mergeCell ref="M1:T1"/>
  </mergeCells>
  <conditionalFormatting sqref="W170:AF171 W221:AF222 W255:AF259 W144:AF152 M144:T152 W117:AF120 W154:AF168 W173:AF182 W267:AF278 M267:T278 W262:AF264 M261:T264 W189:AF219 W5:AF6 M5:T6 M8:T14 W8:AF14 W16:AF30 M16:T30 W32:AF41 W43:AF46 M32:T46 W107:AF109 W66:AF67 M66:T90 W69:AF77 W92:AF100 M92:T100 M280:T284 W280:AF284 W102:AF105 M102:T105 W224:AF253 M154:T259 W123:AF142 W51:AF64 M51:T64 W111:AF112 M107:T112 W81:AF90 W79:AF79 M117:T121 M123:T142 M114:T115 W114:AF114">
    <cfRule type="cellIs" dxfId="219" priority="774" operator="equal">
      <formula>0</formula>
    </cfRule>
  </conditionalFormatting>
  <conditionalFormatting sqref="AG170:AG171 AG221:AG222 AG255:AG259 AG144:AG152 AG154:AG168 AG173:AG182 AG262:AG264 AG267:AG278 AG189:AG219 AG5:AG6 AG8:AG14 AG16:AG30 AG32:AG41 AG43:AG46 AG107:AG109 AG66:AG67 AG69:AG77 AG92:AG100 AG280:AG284 AG102:AG105 AG224:AG253 AG123:AG142 AG51:AG64 AG111:AG112 AG81:AG90 AG79 AG117:AG120 AG114:AG115">
    <cfRule type="cellIs" dxfId="218" priority="761" operator="greaterThan">
      <formula>$AG$2</formula>
    </cfRule>
    <cfRule type="expression" dxfId="217" priority="762">
      <formula>"&lt;$AE$2"</formula>
    </cfRule>
  </conditionalFormatting>
  <conditionalFormatting sqref="AH170:AH171 AH221:AH222 AH255:AH259 AH144:AH152 AH154:AH168 AH173:AH182 AH262:AH264 AH267:AH278 AH189:AH219 AH5:AH6 AH8:AH14 AH16:AH30 AH32:AH41 AH43:AH46 AH107:AH109 AH66:AH67 AH69:AH77 AH92:AH100 AH280:AH284 AH102:AH105 AH224:AH253 AH123:AH142 AH51:AH64 AH111:AH112 AH81:AH90 AH79 AH117:AH120 AH114:AH115">
    <cfRule type="cellIs" dxfId="216" priority="760" operator="greaterThan">
      <formula>$AH$2</formula>
    </cfRule>
  </conditionalFormatting>
  <conditionalFormatting sqref="AJ144:AJ152 AJ154:AJ182 AJ267:AJ278 AJ261:AJ264 AJ5:AJ6 AJ8:AJ14 AJ16:AJ30 AJ32:AJ41 AJ43:AJ46 AJ69:AJ72 AJ107:AJ109 AJ66:AJ67 AJ74:AJ79 AJ92:AJ100 AJ280:AJ284 AJ102:AJ105 AJ189:AJ259 AJ51:AJ64 AJ111:AJ112 AJ81:AJ90 AJ117:AJ121 AJ123:AJ142 AJ114:AJ115">
    <cfRule type="cellIs" dxfId="215" priority="754" operator="equal">
      <formula>"Q1"</formula>
    </cfRule>
    <cfRule type="cellIs" dxfId="214" priority="755" operator="equal">
      <formula>"Q2"</formula>
    </cfRule>
    <cfRule type="cellIs" dxfId="213" priority="756" operator="equal">
      <formula>"Q3"</formula>
    </cfRule>
    <cfRule type="cellIs" dxfId="212" priority="757" operator="equal">
      <formula>"Q4"</formula>
    </cfRule>
  </conditionalFormatting>
  <conditionalFormatting sqref="W115:AF115">
    <cfRule type="cellIs" dxfId="211" priority="753" operator="equal">
      <formula>0</formula>
    </cfRule>
  </conditionalFormatting>
  <conditionalFormatting sqref="W121:AF121">
    <cfRule type="cellIs" dxfId="210" priority="708" operator="equal">
      <formula>0</formula>
    </cfRule>
  </conditionalFormatting>
  <conditionalFormatting sqref="AG121">
    <cfRule type="cellIs" dxfId="209" priority="706" operator="greaterThan">
      <formula>$AG$2</formula>
    </cfRule>
    <cfRule type="expression" dxfId="208" priority="707">
      <formula>"&lt;$AE$2"</formula>
    </cfRule>
  </conditionalFormatting>
  <conditionalFormatting sqref="AH121">
    <cfRule type="cellIs" dxfId="207" priority="705" operator="greaterThan">
      <formula>$AH$2</formula>
    </cfRule>
  </conditionalFormatting>
  <conditionalFormatting sqref="W254:AF254">
    <cfRule type="cellIs" dxfId="206" priority="702" operator="equal">
      <formula>0</formula>
    </cfRule>
  </conditionalFormatting>
  <conditionalFormatting sqref="AG254">
    <cfRule type="cellIs" dxfId="205" priority="700" operator="greaterThan">
      <formula>$AG$2</formula>
    </cfRule>
    <cfRule type="expression" dxfId="204" priority="701">
      <formula>"&lt;$AE$2"</formula>
    </cfRule>
  </conditionalFormatting>
  <conditionalFormatting sqref="AH254">
    <cfRule type="cellIs" dxfId="203" priority="699" operator="greaterThan">
      <formula>$AH$2</formula>
    </cfRule>
  </conditionalFormatting>
  <conditionalFormatting sqref="W261:AF261">
    <cfRule type="cellIs" dxfId="202" priority="696" operator="equal">
      <formula>0</formula>
    </cfRule>
  </conditionalFormatting>
  <conditionalFormatting sqref="AG261">
    <cfRule type="cellIs" dxfId="201" priority="694" operator="greaterThan">
      <formula>$AG$2</formula>
    </cfRule>
    <cfRule type="expression" dxfId="200" priority="695">
      <formula>"&lt;$AE$2"</formula>
    </cfRule>
  </conditionalFormatting>
  <conditionalFormatting sqref="AH261">
    <cfRule type="cellIs" dxfId="199" priority="693" operator="greaterThan">
      <formula>$AH$2</formula>
    </cfRule>
  </conditionalFormatting>
  <conditionalFormatting sqref="W223:AF223">
    <cfRule type="cellIs" dxfId="198" priority="690" operator="equal">
      <formula>0</formula>
    </cfRule>
  </conditionalFormatting>
  <conditionalFormatting sqref="AG223">
    <cfRule type="cellIs" dxfId="197" priority="688" operator="greaterThan">
      <formula>$AG$2</formula>
    </cfRule>
    <cfRule type="expression" dxfId="196" priority="689">
      <formula>"&lt;$AE$2"</formula>
    </cfRule>
  </conditionalFormatting>
  <conditionalFormatting sqref="AH223">
    <cfRule type="cellIs" dxfId="195" priority="687" operator="greaterThan">
      <formula>$AH$2</formula>
    </cfRule>
  </conditionalFormatting>
  <conditionalFormatting sqref="W172:AF172">
    <cfRule type="cellIs" dxfId="194" priority="642" operator="equal">
      <formula>0</formula>
    </cfRule>
  </conditionalFormatting>
  <conditionalFormatting sqref="AG172">
    <cfRule type="cellIs" dxfId="193" priority="640" operator="greaterThan">
      <formula>$AG$2</formula>
    </cfRule>
    <cfRule type="expression" dxfId="192" priority="641">
      <formula>"&lt;$AE$2"</formula>
    </cfRule>
  </conditionalFormatting>
  <conditionalFormatting sqref="AH172">
    <cfRule type="cellIs" dxfId="191" priority="639" operator="greaterThan">
      <formula>$AH$2</formula>
    </cfRule>
  </conditionalFormatting>
  <conditionalFormatting sqref="W169:AF169">
    <cfRule type="cellIs" dxfId="190" priority="624" operator="equal">
      <formula>0</formula>
    </cfRule>
  </conditionalFormatting>
  <conditionalFormatting sqref="AG169">
    <cfRule type="cellIs" dxfId="189" priority="622" operator="greaterThan">
      <formula>$AG$2</formula>
    </cfRule>
    <cfRule type="expression" dxfId="188" priority="623">
      <formula>"&lt;$AE$2"</formula>
    </cfRule>
  </conditionalFormatting>
  <conditionalFormatting sqref="AH169">
    <cfRule type="cellIs" dxfId="187" priority="621" operator="greaterThan">
      <formula>$AH$2</formula>
    </cfRule>
  </conditionalFormatting>
  <conditionalFormatting sqref="W110:AF110">
    <cfRule type="cellIs" dxfId="186" priority="618" operator="equal">
      <formula>0</formula>
    </cfRule>
  </conditionalFormatting>
  <conditionalFormatting sqref="AG110">
    <cfRule type="cellIs" dxfId="185" priority="616" operator="greaterThan">
      <formula>$AG$2</formula>
    </cfRule>
    <cfRule type="expression" dxfId="184" priority="617">
      <formula>"&lt;$AE$2"</formula>
    </cfRule>
  </conditionalFormatting>
  <conditionalFormatting sqref="AH110">
    <cfRule type="cellIs" dxfId="183" priority="615" operator="greaterThan">
      <formula>$AH$2</formula>
    </cfRule>
  </conditionalFormatting>
  <conditionalFormatting sqref="AJ110">
    <cfRule type="cellIs" dxfId="182" priority="609" operator="equal">
      <formula>"Q1"</formula>
    </cfRule>
    <cfRule type="cellIs" dxfId="181" priority="610" operator="equal">
      <formula>"Q2"</formula>
    </cfRule>
    <cfRule type="cellIs" dxfId="180" priority="611" operator="equal">
      <formula>"Q3"</formula>
    </cfRule>
    <cfRule type="cellIs" dxfId="179" priority="612" operator="equal">
      <formula>"Q4"</formula>
    </cfRule>
  </conditionalFormatting>
  <conditionalFormatting sqref="W153:AF153 M153:T153">
    <cfRule type="cellIs" dxfId="178" priority="586" operator="equal">
      <formula>0</formula>
    </cfRule>
  </conditionalFormatting>
  <conditionalFormatting sqref="AG153">
    <cfRule type="cellIs" dxfId="177" priority="584" operator="greaterThan">
      <formula>$AG$2</formula>
    </cfRule>
    <cfRule type="expression" dxfId="176" priority="585">
      <formula>"&lt;$AE$2"</formula>
    </cfRule>
  </conditionalFormatting>
  <conditionalFormatting sqref="AH153">
    <cfRule type="cellIs" dxfId="175" priority="583" operator="greaterThan">
      <formula>$AH$2</formula>
    </cfRule>
  </conditionalFormatting>
  <conditionalFormatting sqref="AJ153">
    <cfRule type="cellIs" dxfId="174" priority="577" operator="equal">
      <formula>"Q1"</formula>
    </cfRule>
    <cfRule type="cellIs" dxfId="173" priority="578" operator="equal">
      <formula>"Q2"</formula>
    </cfRule>
    <cfRule type="cellIs" dxfId="172" priority="579" operator="equal">
      <formula>"Q3"</formula>
    </cfRule>
    <cfRule type="cellIs" dxfId="171" priority="580" operator="equal">
      <formula>"Q4"</formula>
    </cfRule>
  </conditionalFormatting>
  <conditionalFormatting sqref="W42:AF42">
    <cfRule type="cellIs" dxfId="170" priority="557" operator="equal">
      <formula>0</formula>
    </cfRule>
  </conditionalFormatting>
  <conditionalFormatting sqref="AG42">
    <cfRule type="cellIs" dxfId="169" priority="555" operator="greaterThan">
      <formula>$AG$2</formula>
    </cfRule>
    <cfRule type="expression" dxfId="168" priority="556">
      <formula>"&lt;$AE$2"</formula>
    </cfRule>
  </conditionalFormatting>
  <conditionalFormatting sqref="AH42">
    <cfRule type="cellIs" dxfId="167" priority="554" operator="greaterThan">
      <formula>$AH$2</formula>
    </cfRule>
  </conditionalFormatting>
  <conditionalFormatting sqref="AJ42">
    <cfRule type="cellIs" dxfId="166" priority="548" operator="equal">
      <formula>"Q1"</formula>
    </cfRule>
    <cfRule type="cellIs" dxfId="165" priority="549" operator="equal">
      <formula>"Q2"</formula>
    </cfRule>
    <cfRule type="cellIs" dxfId="164" priority="550" operator="equal">
      <formula>"Q3"</formula>
    </cfRule>
    <cfRule type="cellIs" dxfId="163" priority="551" operator="equal">
      <formula>"Q4"</formula>
    </cfRule>
  </conditionalFormatting>
  <conditionalFormatting sqref="W183:AF188">
    <cfRule type="cellIs" dxfId="162" priority="527" operator="equal">
      <formula>0</formula>
    </cfRule>
  </conditionalFormatting>
  <conditionalFormatting sqref="AG183:AG188">
    <cfRule type="cellIs" dxfId="161" priority="525" operator="greaterThan">
      <formula>$AG$2</formula>
    </cfRule>
    <cfRule type="expression" dxfId="160" priority="526">
      <formula>"&lt;$AE$2"</formula>
    </cfRule>
  </conditionalFormatting>
  <conditionalFormatting sqref="AH183:AH188">
    <cfRule type="cellIs" dxfId="159" priority="524" operator="greaterThan">
      <formula>$AH$2</formula>
    </cfRule>
  </conditionalFormatting>
  <conditionalFormatting sqref="AJ183:AJ188">
    <cfRule type="cellIs" dxfId="158" priority="518" operator="equal">
      <formula>"Q1"</formula>
    </cfRule>
    <cfRule type="cellIs" dxfId="157" priority="519" operator="equal">
      <formula>"Q2"</formula>
    </cfRule>
    <cfRule type="cellIs" dxfId="156" priority="520" operator="equal">
      <formula>"Q3"</formula>
    </cfRule>
    <cfRule type="cellIs" dxfId="155" priority="521" operator="equal">
      <formula>"Q4"</formula>
    </cfRule>
  </conditionalFormatting>
  <conditionalFormatting sqref="W68:AF68">
    <cfRule type="cellIs" dxfId="154" priority="517" operator="equal">
      <formula>0</formula>
    </cfRule>
  </conditionalFormatting>
  <conditionalFormatting sqref="AG68">
    <cfRule type="cellIs" dxfId="153" priority="515" operator="greaterThan">
      <formula>$AG$2</formula>
    </cfRule>
    <cfRule type="expression" dxfId="152" priority="516">
      <formula>"&lt;$AE$2"</formula>
    </cfRule>
  </conditionalFormatting>
  <conditionalFormatting sqref="AH68">
    <cfRule type="cellIs" dxfId="151" priority="514" operator="greaterThan">
      <formula>$AH$2</formula>
    </cfRule>
  </conditionalFormatting>
  <conditionalFormatting sqref="AJ68">
    <cfRule type="cellIs" dxfId="150" priority="508" operator="equal">
      <formula>"Q1"</formula>
    </cfRule>
    <cfRule type="cellIs" dxfId="149" priority="509" operator="equal">
      <formula>"Q2"</formula>
    </cfRule>
    <cfRule type="cellIs" dxfId="148" priority="510" operator="equal">
      <formula>"Q3"</formula>
    </cfRule>
    <cfRule type="cellIs" dxfId="147" priority="511" operator="equal">
      <formula>"Q4"</formula>
    </cfRule>
  </conditionalFormatting>
  <conditionalFormatting sqref="W220:AF220">
    <cfRule type="cellIs" dxfId="146" priority="467" operator="equal">
      <formula>0</formula>
    </cfRule>
  </conditionalFormatting>
  <conditionalFormatting sqref="AG220">
    <cfRule type="cellIs" dxfId="145" priority="465" operator="greaterThan">
      <formula>$AG$2</formula>
    </cfRule>
    <cfRule type="expression" dxfId="144" priority="466">
      <formula>"&lt;$AE$2"</formula>
    </cfRule>
  </conditionalFormatting>
  <conditionalFormatting sqref="AH220">
    <cfRule type="cellIs" dxfId="143" priority="464" operator="greaterThan">
      <formula>$AH$2</formula>
    </cfRule>
  </conditionalFormatting>
  <conditionalFormatting sqref="W47:AF50 M47:T50">
    <cfRule type="cellIs" dxfId="142" priority="401" operator="equal">
      <formula>0</formula>
    </cfRule>
  </conditionalFormatting>
  <conditionalFormatting sqref="AG47:AG50">
    <cfRule type="cellIs" dxfId="141" priority="399" operator="greaterThan">
      <formula>$AG$2</formula>
    </cfRule>
    <cfRule type="expression" dxfId="140" priority="400">
      <formula>"&lt;$AE$2"</formula>
    </cfRule>
  </conditionalFormatting>
  <conditionalFormatting sqref="AH47:AH50">
    <cfRule type="cellIs" dxfId="139" priority="398" operator="greaterThan">
      <formula>$AH$2</formula>
    </cfRule>
  </conditionalFormatting>
  <conditionalFormatting sqref="AJ47:AJ50">
    <cfRule type="cellIs" dxfId="138" priority="394" operator="equal">
      <formula>"Q1"</formula>
    </cfRule>
    <cfRule type="cellIs" dxfId="137" priority="395" operator="equal">
      <formula>"Q2"</formula>
    </cfRule>
    <cfRule type="cellIs" dxfId="136" priority="396" operator="equal">
      <formula>"Q3"</formula>
    </cfRule>
    <cfRule type="cellIs" dxfId="135" priority="397" operator="equal">
      <formula>"Q4"</formula>
    </cfRule>
  </conditionalFormatting>
  <conditionalFormatting sqref="W265:AF266 M265:T266">
    <cfRule type="cellIs" dxfId="134" priority="391" operator="equal">
      <formula>0</formula>
    </cfRule>
  </conditionalFormatting>
  <conditionalFormatting sqref="AG265:AG266">
    <cfRule type="cellIs" dxfId="133" priority="389" operator="greaterThan">
      <formula>$AG$2</formula>
    </cfRule>
    <cfRule type="expression" dxfId="132" priority="390">
      <formula>"&lt;$AE$2"</formula>
    </cfRule>
  </conditionalFormatting>
  <conditionalFormatting sqref="AH265:AH266">
    <cfRule type="cellIs" dxfId="131" priority="388" operator="greaterThan">
      <formula>$AH$2</formula>
    </cfRule>
  </conditionalFormatting>
  <conditionalFormatting sqref="AJ265:AJ266">
    <cfRule type="cellIs" dxfId="130" priority="384" operator="equal">
      <formula>"Q1"</formula>
    </cfRule>
    <cfRule type="cellIs" dxfId="129" priority="385" operator="equal">
      <formula>"Q2"</formula>
    </cfRule>
    <cfRule type="cellIs" dxfId="128" priority="386" operator="equal">
      <formula>"Q3"</formula>
    </cfRule>
    <cfRule type="cellIs" dxfId="127" priority="387" operator="equal">
      <formula>"Q4"</formula>
    </cfRule>
  </conditionalFormatting>
  <conditionalFormatting sqref="W143:AF143 M143:T143">
    <cfRule type="cellIs" dxfId="126" priority="379" operator="equal">
      <formula>0</formula>
    </cfRule>
  </conditionalFormatting>
  <conditionalFormatting sqref="AG143">
    <cfRule type="cellIs" dxfId="125" priority="377" operator="greaterThan">
      <formula>$AG$2</formula>
    </cfRule>
    <cfRule type="expression" dxfId="124" priority="378">
      <formula>"&lt;$AE$2"</formula>
    </cfRule>
  </conditionalFormatting>
  <conditionalFormatting sqref="AH143">
    <cfRule type="cellIs" dxfId="123" priority="376" operator="greaterThan">
      <formula>$AH$2</formula>
    </cfRule>
  </conditionalFormatting>
  <conditionalFormatting sqref="AJ143">
    <cfRule type="cellIs" dxfId="122" priority="372" operator="equal">
      <formula>"Q1"</formula>
    </cfRule>
    <cfRule type="cellIs" dxfId="121" priority="373" operator="equal">
      <formula>"Q2"</formula>
    </cfRule>
    <cfRule type="cellIs" dxfId="120" priority="374" operator="equal">
      <formula>"Q3"</formula>
    </cfRule>
    <cfRule type="cellIs" dxfId="119" priority="375" operator="equal">
      <formula>"Q4"</formula>
    </cfRule>
  </conditionalFormatting>
  <conditionalFormatting sqref="W106:AF106 M106:T106">
    <cfRule type="cellIs" dxfId="118" priority="367" operator="equal">
      <formula>0</formula>
    </cfRule>
  </conditionalFormatting>
  <conditionalFormatting sqref="AG106">
    <cfRule type="cellIs" dxfId="117" priority="365" operator="greaterThan">
      <formula>$AG$2</formula>
    </cfRule>
    <cfRule type="expression" dxfId="116" priority="366">
      <formula>"&lt;$AE$2"</formula>
    </cfRule>
  </conditionalFormatting>
  <conditionalFormatting sqref="AH106">
    <cfRule type="cellIs" dxfId="115" priority="364" operator="greaterThan">
      <formula>$AH$2</formula>
    </cfRule>
  </conditionalFormatting>
  <conditionalFormatting sqref="AJ106">
    <cfRule type="cellIs" dxfId="114" priority="360" operator="equal">
      <formula>"Q1"</formula>
    </cfRule>
    <cfRule type="cellIs" dxfId="113" priority="361" operator="equal">
      <formula>"Q2"</formula>
    </cfRule>
    <cfRule type="cellIs" dxfId="112" priority="362" operator="equal">
      <formula>"Q3"</formula>
    </cfRule>
    <cfRule type="cellIs" dxfId="111" priority="363" operator="equal">
      <formula>"Q4"</formula>
    </cfRule>
  </conditionalFormatting>
  <conditionalFormatting sqref="AJ42">
    <cfRule type="cellIs" dxfId="110" priority="292" operator="equal">
      <formula>"Q1"</formula>
    </cfRule>
    <cfRule type="cellIs" dxfId="109" priority="293" operator="equal">
      <formula>"Q2"</formula>
    </cfRule>
    <cfRule type="cellIs" dxfId="108" priority="294" operator="equal">
      <formula>"Q3"</formula>
    </cfRule>
    <cfRule type="cellIs" dxfId="107" priority="295" operator="equal">
      <formula>"Q4"</formula>
    </cfRule>
  </conditionalFormatting>
  <conditionalFormatting sqref="AJ42">
    <cfRule type="colorScale" priority="290">
      <colorScale>
        <cfvo type="min"/>
        <cfvo type="percentile" val="50"/>
        <cfvo type="max"/>
        <color rgb="FF92D050"/>
        <color rgb="FFFFFF00"/>
        <color rgb="FFFF5050"/>
      </colorScale>
    </cfRule>
    <cfRule type="cellIs" dxfId="106" priority="291" operator="equal">
      <formula>0</formula>
    </cfRule>
  </conditionalFormatting>
  <conditionalFormatting sqref="AJ73">
    <cfRule type="cellIs" dxfId="105" priority="286" operator="equal">
      <formula>"Q1"</formula>
    </cfRule>
    <cfRule type="cellIs" dxfId="104" priority="287" operator="equal">
      <formula>"Q2"</formula>
    </cfRule>
    <cfRule type="cellIs" dxfId="103" priority="288" operator="equal">
      <formula>"Q3"</formula>
    </cfRule>
    <cfRule type="cellIs" dxfId="102" priority="289" operator="equal">
      <formula>"Q4"</formula>
    </cfRule>
  </conditionalFormatting>
  <conditionalFormatting sqref="AJ73">
    <cfRule type="colorScale" priority="284">
      <colorScale>
        <cfvo type="min"/>
        <cfvo type="percentile" val="50"/>
        <cfvo type="max"/>
        <color rgb="FF92D050"/>
        <color rgb="FFFFFF00"/>
        <color rgb="FFFF5050"/>
      </colorScale>
    </cfRule>
    <cfRule type="cellIs" dxfId="101" priority="285" operator="equal">
      <formula>0</formula>
    </cfRule>
  </conditionalFormatting>
  <conditionalFormatting sqref="M15:T15 W15:AF15">
    <cfRule type="cellIs" dxfId="100" priority="261" operator="equal">
      <formula>0</formula>
    </cfRule>
  </conditionalFormatting>
  <conditionalFormatting sqref="AG15">
    <cfRule type="cellIs" dxfId="99" priority="259" operator="greaterThan">
      <formula>$AG$2</formula>
    </cfRule>
    <cfRule type="expression" dxfId="98" priority="260">
      <formula>"&lt;$AE$2"</formula>
    </cfRule>
  </conditionalFormatting>
  <conditionalFormatting sqref="AH15">
    <cfRule type="cellIs" dxfId="97" priority="258" operator="greaterThan">
      <formula>$AH$2</formula>
    </cfRule>
  </conditionalFormatting>
  <conditionalFormatting sqref="AJ15">
    <cfRule type="cellIs" dxfId="96" priority="254" operator="equal">
      <formula>"Q1"</formula>
    </cfRule>
    <cfRule type="cellIs" dxfId="95" priority="255" operator="equal">
      <formula>"Q2"</formula>
    </cfRule>
    <cfRule type="cellIs" dxfId="94" priority="256" operator="equal">
      <formula>"Q3"</formula>
    </cfRule>
    <cfRule type="cellIs" dxfId="93" priority="257" operator="equal">
      <formula>"Q4"</formula>
    </cfRule>
  </conditionalFormatting>
  <conditionalFormatting sqref="W279:AF279 M279:T279">
    <cfRule type="cellIs" dxfId="92" priority="215" operator="equal">
      <formula>0</formula>
    </cfRule>
  </conditionalFormatting>
  <conditionalFormatting sqref="W260:AF260 M260:T260">
    <cfRule type="cellIs" dxfId="91" priority="214" operator="equal">
      <formula>0</formula>
    </cfRule>
  </conditionalFormatting>
  <conditionalFormatting sqref="W31:AF31 M31:T31">
    <cfRule type="cellIs" dxfId="90" priority="212" operator="equal">
      <formula>0</formula>
    </cfRule>
  </conditionalFormatting>
  <conditionalFormatting sqref="AG31">
    <cfRule type="cellIs" dxfId="89" priority="204" operator="greaterThan">
      <formula>$AG$2</formula>
    </cfRule>
    <cfRule type="expression" dxfId="88" priority="205">
      <formula>"&lt;$AE$2"</formula>
    </cfRule>
  </conditionalFormatting>
  <conditionalFormatting sqref="AH31">
    <cfRule type="cellIs" dxfId="87" priority="203" operator="greaterThan">
      <formula>$AH$2</formula>
    </cfRule>
  </conditionalFormatting>
  <conditionalFormatting sqref="AJ31">
    <cfRule type="cellIs" dxfId="86" priority="199" operator="equal">
      <formula>"Q1"</formula>
    </cfRule>
    <cfRule type="cellIs" dxfId="85" priority="200" operator="equal">
      <formula>"Q2"</formula>
    </cfRule>
    <cfRule type="cellIs" dxfId="84" priority="201" operator="equal">
      <formula>"Q3"</formula>
    </cfRule>
    <cfRule type="cellIs" dxfId="83" priority="202" operator="equal">
      <formula>"Q4"</formula>
    </cfRule>
  </conditionalFormatting>
  <conditionalFormatting sqref="AG279">
    <cfRule type="cellIs" dxfId="82" priority="152" operator="greaterThan">
      <formula>$AG$2</formula>
    </cfRule>
    <cfRule type="expression" dxfId="81" priority="153">
      <formula>"&lt;$AE$2"</formula>
    </cfRule>
  </conditionalFormatting>
  <conditionalFormatting sqref="AH279">
    <cfRule type="cellIs" dxfId="80" priority="151" operator="greaterThan">
      <formula>$AH$2</formula>
    </cfRule>
  </conditionalFormatting>
  <conditionalFormatting sqref="AJ279">
    <cfRule type="cellIs" dxfId="79" priority="147" operator="equal">
      <formula>"Q1"</formula>
    </cfRule>
    <cfRule type="cellIs" dxfId="78" priority="148" operator="equal">
      <formula>"Q2"</formula>
    </cfRule>
    <cfRule type="cellIs" dxfId="77" priority="149" operator="equal">
      <formula>"Q3"</formula>
    </cfRule>
    <cfRule type="cellIs" dxfId="76" priority="150" operator="equal">
      <formula>"Q4"</formula>
    </cfRule>
  </conditionalFormatting>
  <conditionalFormatting sqref="AG260">
    <cfRule type="cellIs" dxfId="75" priority="139" operator="greaterThan">
      <formula>$AG$2</formula>
    </cfRule>
    <cfRule type="expression" dxfId="74" priority="140">
      <formula>"&lt;$AE$2"</formula>
    </cfRule>
  </conditionalFormatting>
  <conditionalFormatting sqref="AH260">
    <cfRule type="cellIs" dxfId="73" priority="138" operator="greaterThan">
      <formula>$AH$2</formula>
    </cfRule>
  </conditionalFormatting>
  <conditionalFormatting sqref="AJ260">
    <cfRule type="cellIs" dxfId="72" priority="134" operator="equal">
      <formula>"Q1"</formula>
    </cfRule>
    <cfRule type="cellIs" dxfId="71" priority="135" operator="equal">
      <formula>"Q2"</formula>
    </cfRule>
    <cfRule type="cellIs" dxfId="70" priority="136" operator="equal">
      <formula>"Q3"</formula>
    </cfRule>
    <cfRule type="cellIs" dxfId="69" priority="137" operator="equal">
      <formula>"Q4"</formula>
    </cfRule>
  </conditionalFormatting>
  <conditionalFormatting sqref="W7:AF7 M7:T7">
    <cfRule type="cellIs" dxfId="68" priority="104" operator="equal">
      <formula>0</formula>
    </cfRule>
  </conditionalFormatting>
  <conditionalFormatting sqref="AG7">
    <cfRule type="cellIs" dxfId="67" priority="102" operator="greaterThan">
      <formula>$AG$2</formula>
    </cfRule>
    <cfRule type="expression" dxfId="66" priority="103">
      <formula>"&lt;$AE$2"</formula>
    </cfRule>
  </conditionalFormatting>
  <conditionalFormatting sqref="AH7">
    <cfRule type="cellIs" dxfId="65" priority="101" operator="greaterThan">
      <formula>$AH$2</formula>
    </cfRule>
  </conditionalFormatting>
  <conditionalFormatting sqref="AJ7">
    <cfRule type="cellIs" dxfId="64" priority="97" operator="equal">
      <formula>"Q1"</formula>
    </cfRule>
    <cfRule type="cellIs" dxfId="63" priority="98" operator="equal">
      <formula>"Q2"</formula>
    </cfRule>
    <cfRule type="cellIs" dxfId="62" priority="99" operator="equal">
      <formula>"Q3"</formula>
    </cfRule>
    <cfRule type="cellIs" dxfId="61" priority="100" operator="equal">
      <formula>"Q4"</formula>
    </cfRule>
  </conditionalFormatting>
  <conditionalFormatting sqref="AJ7">
    <cfRule type="colorScale" priority="109">
      <colorScale>
        <cfvo type="min"/>
        <cfvo type="percentile" val="50"/>
        <cfvo type="max"/>
        <color rgb="FF92D050"/>
        <color rgb="FFFFFF00"/>
        <color rgb="FFFF5050"/>
      </colorScale>
    </cfRule>
    <cfRule type="cellIs" dxfId="60" priority="110" operator="equal">
      <formula>0</formula>
    </cfRule>
  </conditionalFormatting>
  <conditionalFormatting sqref="W65:AF65 M65:T65">
    <cfRule type="cellIs" dxfId="59" priority="89" operator="equal">
      <formula>0</formula>
    </cfRule>
  </conditionalFormatting>
  <conditionalFormatting sqref="AG65">
    <cfRule type="cellIs" dxfId="58" priority="87" operator="greaterThan">
      <formula>$AG$2</formula>
    </cfRule>
    <cfRule type="expression" dxfId="57" priority="88">
      <formula>"&lt;$AE$2"</formula>
    </cfRule>
  </conditionalFormatting>
  <conditionalFormatting sqref="AH65">
    <cfRule type="cellIs" dxfId="56" priority="86" operator="greaterThan">
      <formula>$AH$2</formula>
    </cfRule>
  </conditionalFormatting>
  <conditionalFormatting sqref="AJ65">
    <cfRule type="cellIs" dxfId="55" priority="82" operator="equal">
      <formula>"Q1"</formula>
    </cfRule>
    <cfRule type="cellIs" dxfId="54" priority="83" operator="equal">
      <formula>"Q2"</formula>
    </cfRule>
    <cfRule type="cellIs" dxfId="53" priority="84" operator="equal">
      <formula>"Q3"</formula>
    </cfRule>
    <cfRule type="cellIs" dxfId="52" priority="85" operator="equal">
      <formula>"Q4"</formula>
    </cfRule>
  </conditionalFormatting>
  <conditionalFormatting sqref="W101:AF101 M101:T101">
    <cfRule type="cellIs" dxfId="51" priority="75" operator="equal">
      <formula>0</formula>
    </cfRule>
  </conditionalFormatting>
  <conditionalFormatting sqref="AG101">
    <cfRule type="cellIs" dxfId="50" priority="73" operator="greaterThan">
      <formula>$AG$2</formula>
    </cfRule>
    <cfRule type="expression" dxfId="49" priority="74">
      <formula>"&lt;$AE$2"</formula>
    </cfRule>
  </conditionalFormatting>
  <conditionalFormatting sqref="AH101">
    <cfRule type="cellIs" dxfId="48" priority="72" operator="greaterThan">
      <formula>$AH$2</formula>
    </cfRule>
  </conditionalFormatting>
  <conditionalFormatting sqref="AJ101">
    <cfRule type="cellIs" dxfId="47" priority="68" operator="equal">
      <formula>"Q1"</formula>
    </cfRule>
    <cfRule type="cellIs" dxfId="46" priority="69" operator="equal">
      <formula>"Q2"</formula>
    </cfRule>
    <cfRule type="cellIs" dxfId="45" priority="70" operator="equal">
      <formula>"Q3"</formula>
    </cfRule>
    <cfRule type="cellIs" dxfId="44" priority="71" operator="equal">
      <formula>"Q4"</formula>
    </cfRule>
  </conditionalFormatting>
  <conditionalFormatting sqref="W91:AF91 M91:T91">
    <cfRule type="cellIs" dxfId="43" priority="61" operator="equal">
      <formula>0</formula>
    </cfRule>
  </conditionalFormatting>
  <conditionalFormatting sqref="AG91">
    <cfRule type="cellIs" dxfId="42" priority="59" operator="greaterThan">
      <formula>$AG$2</formula>
    </cfRule>
    <cfRule type="expression" dxfId="41" priority="60">
      <formula>"&lt;$AE$2"</formula>
    </cfRule>
  </conditionalFormatting>
  <conditionalFormatting sqref="AH91">
    <cfRule type="cellIs" dxfId="40" priority="58" operator="greaterThan">
      <formula>$AH$2</formula>
    </cfRule>
  </conditionalFormatting>
  <conditionalFormatting sqref="AJ91">
    <cfRule type="cellIs" dxfId="39" priority="54" operator="equal">
      <formula>"Q1"</formula>
    </cfRule>
    <cfRule type="cellIs" dxfId="38" priority="55" operator="equal">
      <formula>"Q2"</formula>
    </cfRule>
    <cfRule type="cellIs" dxfId="37" priority="56" operator="equal">
      <formula>"Q3"</formula>
    </cfRule>
    <cfRule type="cellIs" dxfId="36" priority="57" operator="equal">
      <formula>"Q4"</formula>
    </cfRule>
  </conditionalFormatting>
  <conditionalFormatting sqref="W80:AF80">
    <cfRule type="cellIs" dxfId="35" priority="53" operator="equal">
      <formula>0</formula>
    </cfRule>
  </conditionalFormatting>
  <conditionalFormatting sqref="AG80">
    <cfRule type="cellIs" dxfId="34" priority="45" operator="greaterThan">
      <formula>$AG$2</formula>
    </cfRule>
    <cfRule type="expression" dxfId="33" priority="46">
      <formula>"&lt;$AE$2"</formula>
    </cfRule>
  </conditionalFormatting>
  <conditionalFormatting sqref="AH80">
    <cfRule type="cellIs" dxfId="32" priority="44" operator="greaterThan">
      <formula>$AH$2</formula>
    </cfRule>
  </conditionalFormatting>
  <conditionalFormatting sqref="AJ80">
    <cfRule type="cellIs" dxfId="31" priority="40" operator="equal">
      <formula>"Q1"</formula>
    </cfRule>
    <cfRule type="cellIs" dxfId="30" priority="41" operator="equal">
      <formula>"Q2"</formula>
    </cfRule>
    <cfRule type="cellIs" dxfId="29" priority="42" operator="equal">
      <formula>"Q3"</formula>
    </cfRule>
    <cfRule type="cellIs" dxfId="28" priority="43" operator="equal">
      <formula>"Q4"</formula>
    </cfRule>
  </conditionalFormatting>
  <conditionalFormatting sqref="W78:AF78">
    <cfRule type="cellIs" dxfId="27" priority="33" operator="equal">
      <formula>0</formula>
    </cfRule>
  </conditionalFormatting>
  <conditionalFormatting sqref="AG78">
    <cfRule type="cellIs" dxfId="26" priority="31" operator="greaterThan">
      <formula>$AG$2</formula>
    </cfRule>
    <cfRule type="expression" dxfId="25" priority="32">
      <formula>"&lt;$AE$2"</formula>
    </cfRule>
  </conditionalFormatting>
  <conditionalFormatting sqref="AH78">
    <cfRule type="cellIs" dxfId="24" priority="30" operator="greaterThan">
      <formula>$AH$2</formula>
    </cfRule>
  </conditionalFormatting>
  <conditionalFormatting sqref="M122:T122 W122:AF122">
    <cfRule type="cellIs" dxfId="23" priority="28" operator="equal">
      <formula>0</formula>
    </cfRule>
  </conditionalFormatting>
  <conditionalFormatting sqref="AG122">
    <cfRule type="cellIs" dxfId="22" priority="26" operator="greaterThan">
      <formula>$AG$2</formula>
    </cfRule>
    <cfRule type="expression" dxfId="21" priority="27">
      <formula>"&lt;$AE$2"</formula>
    </cfRule>
  </conditionalFormatting>
  <conditionalFormatting sqref="AH122">
    <cfRule type="cellIs" dxfId="20" priority="25" operator="greaterThan">
      <formula>$AH$2</formula>
    </cfRule>
  </conditionalFormatting>
  <conditionalFormatting sqref="AJ122">
    <cfRule type="cellIs" dxfId="19" priority="21" operator="equal">
      <formula>"Q1"</formula>
    </cfRule>
    <cfRule type="cellIs" dxfId="18" priority="22" operator="equal">
      <formula>"Q2"</formula>
    </cfRule>
    <cfRule type="cellIs" dxfId="17" priority="23" operator="equal">
      <formula>"Q3"</formula>
    </cfRule>
    <cfRule type="cellIs" dxfId="16" priority="24" operator="equal">
      <formula>"Q4"</formula>
    </cfRule>
  </conditionalFormatting>
  <conditionalFormatting sqref="W116:AF116 M116:T116">
    <cfRule type="cellIs" dxfId="15" priority="19" operator="equal">
      <formula>0</formula>
    </cfRule>
  </conditionalFormatting>
  <conditionalFormatting sqref="AG116">
    <cfRule type="cellIs" dxfId="14" priority="17" operator="greaterThan">
      <formula>$AG$2</formula>
    </cfRule>
    <cfRule type="expression" dxfId="13" priority="18">
      <formula>"&lt;$AE$2"</formula>
    </cfRule>
  </conditionalFormatting>
  <conditionalFormatting sqref="AH116">
    <cfRule type="cellIs" dxfId="12" priority="16" operator="greaterThan">
      <formula>$AH$2</formula>
    </cfRule>
  </conditionalFormatting>
  <conditionalFormatting sqref="AJ116">
    <cfRule type="cellIs" dxfId="11" priority="12" operator="equal">
      <formula>"Q1"</formula>
    </cfRule>
    <cfRule type="cellIs" dxfId="10" priority="13" operator="equal">
      <formula>"Q2"</formula>
    </cfRule>
    <cfRule type="cellIs" dxfId="9" priority="14" operator="equal">
      <formula>"Q3"</formula>
    </cfRule>
    <cfRule type="cellIs" dxfId="8" priority="15" operator="equal">
      <formula>"Q4"</formula>
    </cfRule>
  </conditionalFormatting>
  <conditionalFormatting sqref="W113:AF113 M113:T113">
    <cfRule type="cellIs" dxfId="7" priority="10" operator="equal">
      <formula>0</formula>
    </cfRule>
  </conditionalFormatting>
  <conditionalFormatting sqref="AG113">
    <cfRule type="cellIs" dxfId="6" priority="8" operator="greaterThan">
      <formula>$AG$2</formula>
    </cfRule>
    <cfRule type="expression" dxfId="5" priority="9">
      <formula>"&lt;$AE$2"</formula>
    </cfRule>
  </conditionalFormatting>
  <conditionalFormatting sqref="AH113">
    <cfRule type="cellIs" dxfId="4" priority="7" operator="greaterThan">
      <formula>$AH$2</formula>
    </cfRule>
  </conditionalFormatting>
  <conditionalFormatting sqref="AJ113">
    <cfRule type="cellIs" dxfId="3" priority="3" operator="equal">
      <formula>"Q1"</formula>
    </cfRule>
    <cfRule type="cellIs" dxfId="2" priority="4" operator="equal">
      <formula>"Q2"</formula>
    </cfRule>
    <cfRule type="cellIs" dxfId="1" priority="5" operator="equal">
      <formula>"Q3"</formula>
    </cfRule>
    <cfRule type="cellIs" dxfId="0" priority="6" operator="equal">
      <formula>"Q4"</formula>
    </cfRule>
  </conditionalFormatting>
  <conditionalFormatting sqref="AI113">
    <cfRule type="colorScale" priority="2">
      <colorScale>
        <cfvo type="min"/>
        <cfvo type="percentile" val="50"/>
        <cfvo type="max"/>
        <color rgb="FF7BCF7D"/>
        <color rgb="FFFFEB84"/>
        <color rgb="FFF42E4A"/>
      </colorScale>
    </cfRule>
  </conditionalFormatting>
  <conditionalFormatting sqref="AI5:AI284">
    <cfRule type="colorScale" priority="1">
      <colorScale>
        <cfvo type="min"/>
        <cfvo type="percentile" val="50"/>
        <cfvo type="max"/>
        <color rgb="FF7ED080"/>
        <color rgb="FFFFEB84"/>
        <color rgb="FFF5455E"/>
      </colorScale>
    </cfRule>
  </conditionalFormatting>
  <dataValidations disablePrompts="1" count="6">
    <dataValidation allowBlank="1" showDropDown="1" showInputMessage="1" showErrorMessage="1" sqref="E123:E125 E117:E120 E223 E107 E108:F109 E111:F111 E104:F105 E112 E114" xr:uid="{00000000-0002-0000-0000-000000000000}"/>
    <dataValidation type="list" allowBlank="1" showInputMessage="1" showErrorMessage="1" sqref="M5" xr:uid="{00000000-0002-0000-0000-000001000000}">
      <formula1>Consequence_Ratings</formula1>
    </dataValidation>
    <dataValidation type="list" showInputMessage="1" showErrorMessage="1" sqref="N5:T6 M6 M7:T284" xr:uid="{00000000-0002-0000-0000-000002000000}">
      <formula1>Consequence_Ratings</formula1>
    </dataValidation>
    <dataValidation type="list" allowBlank="1" showInputMessage="1" showErrorMessage="1" sqref="I5:I284" xr:uid="{00000000-0002-0000-0000-000003000000}">
      <formula1>Overall_Condition</formula1>
    </dataValidation>
    <dataValidation type="list" allowBlank="1" showInputMessage="1" showErrorMessage="1" sqref="J5:J284" xr:uid="{00000000-0002-0000-0000-000004000000}">
      <formula1>Percent_Life_Left</formula1>
    </dataValidation>
    <dataValidation type="list" allowBlank="1" showInputMessage="1" showErrorMessage="1" sqref="AK5:AK284" xr:uid="{00000000-0002-0000-0000-000005000000}">
      <formula1>Funding_Source</formula1>
    </dataValidation>
  </dataValidations>
  <pageMargins left="0.3" right="0.2" top="0.4" bottom="0.3" header="0.25" footer="0.1"/>
  <pageSetup scale="70" fitToHeight="0" orientation="landscape" r:id="rId1"/>
  <headerFooter>
    <oddHeader xml:space="preserve">&amp;R&amp;"-,Bold"Updated October 18, 2013       </oddHeader>
    <oddFooter>&amp;RFY15-FY19 CIP by PRIORITY</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workbookViewId="0"/>
  </sheetViews>
  <sheetFormatPr defaultRowHeight="15"/>
  <cols>
    <col min="1" max="1" width="15.28515625" customWidth="1"/>
    <col min="2" max="2" width="17.28515625" customWidth="1"/>
    <col min="3" max="3" width="22.5703125" customWidth="1"/>
    <col min="4" max="4" width="14.7109375" customWidth="1"/>
    <col min="5" max="5" width="25.28515625" customWidth="1"/>
    <col min="6" max="6" width="25" customWidth="1"/>
  </cols>
  <sheetData>
    <row r="1" spans="1:6" ht="15.75" thickBot="1">
      <c r="A1" s="33" t="s">
        <v>322</v>
      </c>
      <c r="B1" s="35" t="s">
        <v>323</v>
      </c>
      <c r="C1" s="36" t="s">
        <v>324</v>
      </c>
      <c r="D1" s="37" t="s">
        <v>325</v>
      </c>
      <c r="E1" s="38" t="s">
        <v>324</v>
      </c>
      <c r="F1" s="34" t="s">
        <v>326</v>
      </c>
    </row>
    <row r="2" spans="1:6">
      <c r="A2" s="39">
        <v>0</v>
      </c>
      <c r="B2" s="40">
        <v>0</v>
      </c>
      <c r="C2" s="41" t="s">
        <v>327</v>
      </c>
      <c r="D2" s="40">
        <v>0</v>
      </c>
      <c r="E2" s="41" t="s">
        <v>328</v>
      </c>
      <c r="F2" s="42" t="s">
        <v>329</v>
      </c>
    </row>
    <row r="3" spans="1:6">
      <c r="A3" s="39">
        <v>0.1</v>
      </c>
      <c r="B3" s="40">
        <v>1</v>
      </c>
      <c r="C3" s="41" t="s">
        <v>330</v>
      </c>
      <c r="D3" s="40">
        <v>1</v>
      </c>
      <c r="E3" s="41"/>
      <c r="F3" s="42" t="s">
        <v>430</v>
      </c>
    </row>
    <row r="4" spans="1:6">
      <c r="A4" s="39">
        <v>0.2</v>
      </c>
      <c r="B4" s="40">
        <v>2</v>
      </c>
      <c r="C4" s="41" t="s">
        <v>331</v>
      </c>
      <c r="D4" s="40">
        <v>2</v>
      </c>
      <c r="E4" s="41" t="s">
        <v>332</v>
      </c>
      <c r="F4" s="42" t="s">
        <v>333</v>
      </c>
    </row>
    <row r="5" spans="1:6">
      <c r="A5" s="39">
        <v>0.3</v>
      </c>
      <c r="B5" s="40">
        <v>3</v>
      </c>
      <c r="C5" s="41" t="s">
        <v>334</v>
      </c>
      <c r="D5" s="40">
        <v>3</v>
      </c>
      <c r="E5" s="41"/>
      <c r="F5" s="42" t="s">
        <v>662</v>
      </c>
    </row>
    <row r="6" spans="1:6">
      <c r="A6" s="39">
        <v>0.4</v>
      </c>
      <c r="B6" s="40">
        <v>4</v>
      </c>
      <c r="C6" s="41" t="s">
        <v>335</v>
      </c>
      <c r="D6" s="40">
        <v>4</v>
      </c>
      <c r="E6" s="41"/>
      <c r="F6" s="42" t="s">
        <v>442</v>
      </c>
    </row>
    <row r="7" spans="1:6">
      <c r="A7" s="39">
        <v>0.5</v>
      </c>
      <c r="B7" s="40">
        <v>5</v>
      </c>
      <c r="C7" s="41" t="s">
        <v>336</v>
      </c>
      <c r="D7" s="40">
        <v>5</v>
      </c>
      <c r="E7" s="41" t="s">
        <v>337</v>
      </c>
      <c r="F7" s="42" t="s">
        <v>338</v>
      </c>
    </row>
    <row r="8" spans="1:6">
      <c r="A8" s="39">
        <v>0.6</v>
      </c>
      <c r="B8" s="40">
        <v>6</v>
      </c>
      <c r="C8" s="41" t="s">
        <v>339</v>
      </c>
      <c r="D8" s="40">
        <v>6</v>
      </c>
      <c r="E8" s="41"/>
      <c r="F8" s="42" t="s">
        <v>340</v>
      </c>
    </row>
    <row r="9" spans="1:6">
      <c r="A9" s="39">
        <v>0.7</v>
      </c>
      <c r="B9" s="40">
        <v>7</v>
      </c>
      <c r="C9" s="41" t="s">
        <v>341</v>
      </c>
      <c r="D9" s="40">
        <v>7</v>
      </c>
      <c r="E9" s="41"/>
      <c r="F9" s="42" t="s">
        <v>342</v>
      </c>
    </row>
    <row r="10" spans="1:6">
      <c r="A10" s="39">
        <v>0.8</v>
      </c>
      <c r="B10" s="40">
        <v>8</v>
      </c>
      <c r="C10" s="41" t="s">
        <v>343</v>
      </c>
      <c r="D10" s="40">
        <v>8</v>
      </c>
      <c r="E10" s="41" t="s">
        <v>344</v>
      </c>
      <c r="F10" s="42" t="s">
        <v>345</v>
      </c>
    </row>
    <row r="11" spans="1:6" ht="15.75" thickBot="1">
      <c r="A11" s="39">
        <v>0.9</v>
      </c>
      <c r="B11" s="40">
        <v>9</v>
      </c>
      <c r="C11" s="41" t="s">
        <v>346</v>
      </c>
      <c r="D11" s="40">
        <v>9</v>
      </c>
      <c r="E11" s="41"/>
      <c r="F11" s="43" t="s">
        <v>347</v>
      </c>
    </row>
    <row r="12" spans="1:6" ht="15.75" thickBot="1">
      <c r="A12" s="44">
        <v>1</v>
      </c>
      <c r="B12" s="45">
        <v>10</v>
      </c>
      <c r="C12" s="46" t="s">
        <v>348</v>
      </c>
      <c r="D12" s="45">
        <v>10</v>
      </c>
      <c r="E12" s="46" t="s">
        <v>349</v>
      </c>
      <c r="F12" s="47"/>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vt:i4>
      </vt:variant>
    </vt:vector>
  </HeadingPairs>
  <TitlesOfParts>
    <vt:vector size="25" baseType="lpstr">
      <vt:lpstr>CIP</vt:lpstr>
      <vt:lpstr>Lists</vt:lpstr>
      <vt:lpstr>CondWeight</vt:lpstr>
      <vt:lpstr>Consequence_Ratings</vt:lpstr>
      <vt:lpstr>Efactor</vt:lpstr>
      <vt:lpstr>Funding_Source</vt:lpstr>
      <vt:lpstr>Overall_Condition</vt:lpstr>
      <vt:lpstr>Percent_Life_Left</vt:lpstr>
      <vt:lpstr>PLifeWeight</vt:lpstr>
      <vt:lpstr>CIP!Print_Area</vt:lpstr>
      <vt:lpstr>CIP!Print_Titles</vt:lpstr>
      <vt:lpstr>question</vt:lpstr>
      <vt:lpstr>really</vt:lpstr>
      <vt:lpstr>rooney</vt:lpstr>
      <vt:lpstr>t</vt:lpstr>
      <vt:lpstr>Weight</vt:lpstr>
      <vt:lpstr>Weight1</vt:lpstr>
      <vt:lpstr>Weight2</vt:lpstr>
      <vt:lpstr>Weight3</vt:lpstr>
      <vt:lpstr>Weight4</vt:lpstr>
      <vt:lpstr>Weight5</vt:lpstr>
      <vt:lpstr>Weight6</vt:lpstr>
      <vt:lpstr>Weight7</vt:lpstr>
      <vt:lpstr>Weight8</vt:lpstr>
      <vt:lpstr>WSum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Perez</dc:creator>
  <cp:lastModifiedBy>Gregory Ansaldi</cp:lastModifiedBy>
  <cp:lastPrinted>2013-10-16T16:15:32Z</cp:lastPrinted>
  <dcterms:created xsi:type="dcterms:W3CDTF">2012-07-10T14:48:06Z</dcterms:created>
  <dcterms:modified xsi:type="dcterms:W3CDTF">2020-11-10T15:11:20Z</dcterms:modified>
</cp:coreProperties>
</file>