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gansaldi\Desktop\finance\2014\"/>
    </mc:Choice>
  </mc:AlternateContent>
  <xr:revisionPtr revIDLastSave="0" documentId="8_{8641ED19-F9E1-49C1-9664-23FBC2A6FAE1}" xr6:coauthVersionLast="45" xr6:coauthVersionMax="45" xr10:uidLastSave="{00000000-0000-0000-0000-000000000000}"/>
  <bookViews>
    <workbookView xWindow="1485" yWindow="1950" windowWidth="27315" windowHeight="13020" xr2:uid="{00000000-000D-0000-FFFF-FFFF00000000}"/>
  </bookViews>
  <sheets>
    <sheet name="CIP" sheetId="1" r:id="rId1"/>
    <sheet name="Lists" sheetId="2" r:id="rId2"/>
    <sheet name="20 Year Plan" sheetId="7" r:id="rId3"/>
  </sheets>
  <definedNames>
    <definedName name="_xlnm._FilterDatabase" localSheetId="0" hidden="1">CIP!$A$4:$AW$324</definedName>
    <definedName name="CondWeight">CIP!$I$3</definedName>
    <definedName name="Consequence_Ratings">Lists!$D$2:$D$12</definedName>
    <definedName name="Efactor">CIP!$AQ$3</definedName>
    <definedName name="Funding_Source">Lists!$F$2:$F$11</definedName>
    <definedName name="Overall_Condition">Lists!$B$2:$B$12</definedName>
    <definedName name="Percent_Life_Left">Lists!$A$2:$A$12</definedName>
    <definedName name="PLifeWeight">CIP!$J$3</definedName>
    <definedName name="_xlnm.Print_Area" localSheetId="2">'20 Year Plan'!$A$1:$U$2485</definedName>
    <definedName name="_xlnm.Print_Area" localSheetId="0">CIP!$B$1:$AV$325</definedName>
    <definedName name="_xlnm.Print_Titles" localSheetId="2">'20 Year Plan'!$3:$3</definedName>
    <definedName name="_xlnm.Print_Titles" localSheetId="0">CIP!$4:$4</definedName>
    <definedName name="t">CIP!$M$3</definedName>
    <definedName name="Weight1">CIP!$M$3</definedName>
    <definedName name="Weight2">CIP!$N$3</definedName>
    <definedName name="Weight3">CIP!$O$3</definedName>
    <definedName name="Weight4">CIP!$P$3</definedName>
    <definedName name="Weight5">CIP!$Q$3</definedName>
    <definedName name="Weight6">CIP!$R$3</definedName>
    <definedName name="Weight7">CIP!$S$3</definedName>
    <definedName name="Weight8">CIP!$T$3</definedName>
    <definedName name="WSum">CIP!$U$3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 l="1"/>
  <c r="U270" i="1" l="1"/>
  <c r="V270" i="1" s="1"/>
  <c r="AF270" i="1" s="1"/>
  <c r="AG270" i="1" s="1"/>
  <c r="AE270" i="1"/>
  <c r="AS270" i="1"/>
  <c r="AR9" i="1" l="1"/>
  <c r="AR18" i="1" l="1"/>
  <c r="AR317" i="1" l="1"/>
  <c r="AE233" i="1"/>
  <c r="U233" i="1"/>
  <c r="V233" i="1" s="1"/>
  <c r="AF233" i="1" s="1"/>
  <c r="AG233" i="1" s="1"/>
  <c r="AE181" i="1"/>
  <c r="U181" i="1"/>
  <c r="V181" i="1" s="1"/>
  <c r="AF181" i="1" s="1"/>
  <c r="AG181" i="1" s="1"/>
  <c r="AE192" i="1"/>
  <c r="U192" i="1"/>
  <c r="V192" i="1" s="1"/>
  <c r="AF192" i="1" s="1"/>
  <c r="AG192" i="1" s="1"/>
  <c r="AE24" i="1"/>
  <c r="U24" i="1"/>
  <c r="V24" i="1" s="1"/>
  <c r="AF24" i="1" s="1"/>
  <c r="AG24" i="1" s="1"/>
  <c r="AE214" i="1"/>
  <c r="U214" i="1"/>
  <c r="V214" i="1" s="1"/>
  <c r="AF214" i="1" s="1"/>
  <c r="AG214" i="1" s="1"/>
  <c r="AE18" i="1"/>
  <c r="U18" i="1"/>
  <c r="V18" i="1" s="1"/>
  <c r="AF18" i="1" s="1"/>
  <c r="H4" i="1"/>
  <c r="AG18" i="1" l="1"/>
  <c r="AQ4" i="1"/>
  <c r="AP4" i="1"/>
  <c r="AO4" i="1"/>
  <c r="AN4" i="1"/>
  <c r="AM4" i="1"/>
  <c r="AR284" i="1" l="1"/>
  <c r="AR10" i="1"/>
  <c r="AT234" i="1" l="1"/>
  <c r="I748" i="7" s="1"/>
  <c r="AU235" i="1"/>
  <c r="J1584" i="7" s="1"/>
  <c r="AS234" i="1"/>
  <c r="H748" i="7" s="1"/>
  <c r="AV202" i="1"/>
  <c r="K1943" i="7" s="1"/>
  <c r="AU201" i="1"/>
  <c r="J1943" i="7" s="1"/>
  <c r="AT200" i="1"/>
  <c r="I1944" i="7" s="1"/>
  <c r="L1944" i="7" s="1"/>
  <c r="R1797" i="7"/>
  <c r="P1797" i="7"/>
  <c r="N1797" i="7"/>
  <c r="L748" i="7" l="1"/>
  <c r="S748" i="7" s="1"/>
  <c r="L1584" i="7"/>
  <c r="S1584" i="7" s="1"/>
  <c r="J1592" i="7"/>
  <c r="L1592" i="7" s="1"/>
  <c r="R1796" i="7"/>
  <c r="P1796" i="7"/>
  <c r="N1796" i="7"/>
  <c r="J1795" i="7" l="1"/>
  <c r="Q2483" i="7" l="1"/>
  <c r="O2483" i="7"/>
  <c r="M2483" i="7"/>
  <c r="R2482" i="7"/>
  <c r="N2482" i="7"/>
  <c r="R2481" i="7"/>
  <c r="P2481" i="7"/>
  <c r="P2483" i="7" s="1"/>
  <c r="N2481" i="7"/>
  <c r="O1744" i="7"/>
  <c r="P1743" i="7"/>
  <c r="S1743" i="7" s="1"/>
  <c r="R870" i="7"/>
  <c r="N866" i="7"/>
  <c r="S866" i="7" s="1"/>
  <c r="O789" i="7"/>
  <c r="P788" i="7"/>
  <c r="P789" i="7" s="1"/>
  <c r="P774" i="7"/>
  <c r="P757" i="7"/>
  <c r="N2483" i="7" l="1"/>
  <c r="R2483" i="7"/>
  <c r="S2482" i="7"/>
  <c r="P1744" i="7"/>
  <c r="S1744" i="7" s="1"/>
  <c r="H1162" i="7"/>
  <c r="U130" i="1" l="1"/>
  <c r="V130" i="1" s="1"/>
  <c r="AF130" i="1" s="1"/>
  <c r="AE130" i="1"/>
  <c r="AU272" i="1"/>
  <c r="J1797" i="7" s="1"/>
  <c r="AE272" i="1"/>
  <c r="U272" i="1"/>
  <c r="V272" i="1" s="1"/>
  <c r="AF272" i="1" s="1"/>
  <c r="AT271" i="1"/>
  <c r="I1797" i="7" s="1"/>
  <c r="AE271" i="1"/>
  <c r="U271" i="1"/>
  <c r="V271" i="1" s="1"/>
  <c r="AF271" i="1" s="1"/>
  <c r="H1797" i="7"/>
  <c r="AG130" i="1" l="1"/>
  <c r="AG271" i="1"/>
  <c r="AG272" i="1"/>
  <c r="N117" i="7" l="1"/>
  <c r="N119" i="7" s="1"/>
  <c r="M119" i="7"/>
  <c r="R2474" i="7" l="1"/>
  <c r="P2473" i="7"/>
  <c r="S2473" i="7" s="1"/>
  <c r="P2472" i="7"/>
  <c r="N2475" i="7"/>
  <c r="S2475" i="7" s="1"/>
  <c r="N2474" i="7"/>
  <c r="R2469" i="7"/>
  <c r="P2469" i="7"/>
  <c r="N2469" i="7"/>
  <c r="R2462" i="7"/>
  <c r="R2458" i="7"/>
  <c r="P2462" i="7"/>
  <c r="P2458" i="7"/>
  <c r="N2462" i="7"/>
  <c r="N2458" i="7"/>
  <c r="N2445" i="7"/>
  <c r="R2445" i="7"/>
  <c r="R2439" i="7"/>
  <c r="R2438" i="7"/>
  <c r="S2438" i="7" s="1"/>
  <c r="R2435" i="7"/>
  <c r="R2433" i="7"/>
  <c r="R2430" i="7"/>
  <c r="S2430" i="7" s="1"/>
  <c r="P2444" i="7"/>
  <c r="S2444" i="7" s="1"/>
  <c r="P2437" i="7"/>
  <c r="S2437" i="7" s="1"/>
  <c r="P2436" i="7"/>
  <c r="S2436" i="7" s="1"/>
  <c r="P2432" i="7"/>
  <c r="S2432" i="7" s="1"/>
  <c r="N2443" i="7"/>
  <c r="S2443" i="7" s="1"/>
  <c r="N2442" i="7"/>
  <c r="S2442" i="7" s="1"/>
  <c r="N2441" i="7"/>
  <c r="S2441" i="7" s="1"/>
  <c r="N2440" i="7"/>
  <c r="S2440" i="7" s="1"/>
  <c r="N2439" i="7"/>
  <c r="N2434" i="7"/>
  <c r="S2434" i="7" s="1"/>
  <c r="N2431" i="7"/>
  <c r="S2431" i="7" s="1"/>
  <c r="R2424" i="7"/>
  <c r="S2424" i="7" s="1"/>
  <c r="R2423" i="7"/>
  <c r="P2423" i="7"/>
  <c r="N2422" i="7"/>
  <c r="S2422" i="7" s="1"/>
  <c r="N2421" i="7"/>
  <c r="S2421" i="7" s="1"/>
  <c r="N2420" i="7"/>
  <c r="S2420" i="7" s="1"/>
  <c r="P2209" i="7"/>
  <c r="N2226" i="7"/>
  <c r="N2225" i="7"/>
  <c r="N2224" i="7"/>
  <c r="N2223" i="7"/>
  <c r="N2222" i="7"/>
  <c r="N2221" i="7"/>
  <c r="N2220" i="7"/>
  <c r="N2219" i="7"/>
  <c r="N2218" i="7"/>
  <c r="N2209" i="7"/>
  <c r="P2197" i="7"/>
  <c r="S2197" i="7" s="1"/>
  <c r="N2177" i="7"/>
  <c r="S2177" i="7" s="1"/>
  <c r="N2167" i="7"/>
  <c r="S2167" i="7" s="1"/>
  <c r="N2157" i="7"/>
  <c r="S2157" i="7" s="1"/>
  <c r="N2151" i="7"/>
  <c r="S2151" i="7" s="1"/>
  <c r="S2154" i="7"/>
  <c r="S2153" i="7"/>
  <c r="S2152" i="7"/>
  <c r="P2118" i="7"/>
  <c r="S2118" i="7" s="1"/>
  <c r="P2116" i="7"/>
  <c r="P2113" i="7"/>
  <c r="P2112" i="7"/>
  <c r="S2112" i="7" s="1"/>
  <c r="N2116" i="7"/>
  <c r="N2115" i="7"/>
  <c r="S2115" i="7" s="1"/>
  <c r="N2113" i="7"/>
  <c r="O2086" i="7"/>
  <c r="P2086" i="7" s="1"/>
  <c r="R2085" i="7"/>
  <c r="R2077" i="7"/>
  <c r="P2088" i="7"/>
  <c r="P2084" i="7"/>
  <c r="S2084" i="7" s="1"/>
  <c r="P2081" i="7"/>
  <c r="S2081" i="7" s="1"/>
  <c r="P2077" i="7"/>
  <c r="N2088" i="7"/>
  <c r="N2085" i="7"/>
  <c r="N2077" i="7"/>
  <c r="R2068" i="7"/>
  <c r="S2068" i="7" s="1"/>
  <c r="R2065" i="7"/>
  <c r="R2062" i="7"/>
  <c r="R2061" i="7"/>
  <c r="P2067" i="7"/>
  <c r="S2067" i="7" s="1"/>
  <c r="P2064" i="7"/>
  <c r="P2061" i="7"/>
  <c r="N2070" i="7"/>
  <c r="S2070" i="7" s="1"/>
  <c r="N2066" i="7"/>
  <c r="S2066" i="7" s="1"/>
  <c r="N2063" i="7"/>
  <c r="S2063" i="7" s="1"/>
  <c r="N2062" i="7"/>
  <c r="S2062" i="7" s="1"/>
  <c r="N2061" i="7"/>
  <c r="R2059" i="7"/>
  <c r="P2059" i="7"/>
  <c r="N2059" i="7"/>
  <c r="R2049" i="7"/>
  <c r="S2049" i="7" s="1"/>
  <c r="R2046" i="7"/>
  <c r="P2047" i="7"/>
  <c r="P2042" i="7"/>
  <c r="S2042" i="7" s="1"/>
  <c r="R2036" i="7"/>
  <c r="P2035" i="7"/>
  <c r="S2035" i="7" s="1"/>
  <c r="N2037" i="7"/>
  <c r="S2037" i="7" s="1"/>
  <c r="R1948" i="7"/>
  <c r="P1948" i="7"/>
  <c r="N1948" i="7"/>
  <c r="Q1945" i="7"/>
  <c r="R1945" i="7" s="1"/>
  <c r="O1945" i="7"/>
  <c r="P1945" i="7" s="1"/>
  <c r="M1945" i="7"/>
  <c r="N1945" i="7" s="1"/>
  <c r="N1944" i="7"/>
  <c r="R1943" i="7"/>
  <c r="P1943" i="7"/>
  <c r="N1943" i="7"/>
  <c r="R1942" i="7"/>
  <c r="P1942" i="7"/>
  <c r="N1942" i="7"/>
  <c r="R1940" i="7"/>
  <c r="P1940" i="7"/>
  <c r="N1940" i="7"/>
  <c r="R1926" i="7"/>
  <c r="R1925" i="7"/>
  <c r="P1926" i="7"/>
  <c r="P1925" i="7"/>
  <c r="N1926" i="7"/>
  <c r="N1925" i="7"/>
  <c r="R462" i="7"/>
  <c r="R1787" i="7"/>
  <c r="S1787" i="7" s="1"/>
  <c r="R1784" i="7"/>
  <c r="S1784" i="7" s="1"/>
  <c r="P1776" i="7"/>
  <c r="S1776" i="7" s="1"/>
  <c r="P1771" i="7"/>
  <c r="S1771" i="7" s="1"/>
  <c r="P1763" i="7"/>
  <c r="S1763" i="7" s="1"/>
  <c r="N1747" i="7"/>
  <c r="S1747" i="7" s="1"/>
  <c r="P1725" i="7"/>
  <c r="S1725" i="7" s="1"/>
  <c r="N1740" i="7"/>
  <c r="S1740" i="7" s="1"/>
  <c r="N1734" i="7"/>
  <c r="S1734" i="7" s="1"/>
  <c r="N1733" i="7"/>
  <c r="S1733" i="7" s="1"/>
  <c r="N1718" i="7"/>
  <c r="S1718" i="7" s="1"/>
  <c r="N1710" i="7"/>
  <c r="S1710" i="7" s="1"/>
  <c r="N1697" i="7"/>
  <c r="S1697" i="7" s="1"/>
  <c r="N1684" i="7"/>
  <c r="S1684" i="7" s="1"/>
  <c r="N1673" i="7"/>
  <c r="S1673" i="7" s="1"/>
  <c r="N1667" i="7"/>
  <c r="S1667" i="7" s="1"/>
  <c r="N1662" i="7"/>
  <c r="S1662" i="7" s="1"/>
  <c r="N1653" i="7"/>
  <c r="N1641" i="7"/>
  <c r="S1641" i="7" s="1"/>
  <c r="N1624" i="7"/>
  <c r="S1624" i="7" s="1"/>
  <c r="N1617" i="7"/>
  <c r="S1617" i="7" s="1"/>
  <c r="N1585" i="7"/>
  <c r="S1585" i="7" s="1"/>
  <c r="N1583" i="7"/>
  <c r="S1583" i="7" s="1"/>
  <c r="R1533" i="7"/>
  <c r="S1533" i="7" s="1"/>
  <c r="R1496" i="7"/>
  <c r="S1496" i="7" s="1"/>
  <c r="P1470" i="7"/>
  <c r="S1470" i="7" s="1"/>
  <c r="P1469" i="7"/>
  <c r="S1469" i="7" s="1"/>
  <c r="N1460" i="7"/>
  <c r="S1460" i="7" s="1"/>
  <c r="R1441" i="7"/>
  <c r="S1441" i="7" s="1"/>
  <c r="P1448" i="7"/>
  <c r="S1448" i="7" s="1"/>
  <c r="P1446" i="7"/>
  <c r="S1446" i="7" s="1"/>
  <c r="S1438" i="7"/>
  <c r="N1442" i="7"/>
  <c r="S1442" i="7" s="1"/>
  <c r="N1440" i="7"/>
  <c r="S1440" i="7" s="1"/>
  <c r="N1424" i="7"/>
  <c r="S1424" i="7" s="1"/>
  <c r="N1420" i="7"/>
  <c r="S1420" i="7" s="1"/>
  <c r="N1412" i="7"/>
  <c r="S1412" i="7" s="1"/>
  <c r="R1386" i="7"/>
  <c r="S1386" i="7" s="1"/>
  <c r="R1385" i="7"/>
  <c r="S1385" i="7" s="1"/>
  <c r="R1368" i="7"/>
  <c r="S1368" i="7" s="1"/>
  <c r="P1392" i="7"/>
  <c r="S1392" i="7" s="1"/>
  <c r="N1335" i="7"/>
  <c r="S1335" i="7" s="1"/>
  <c r="N1328" i="7"/>
  <c r="S1328" i="7" s="1"/>
  <c r="N1317" i="7"/>
  <c r="S1317" i="7" s="1"/>
  <c r="R1270" i="7"/>
  <c r="S1270" i="7" s="1"/>
  <c r="R1253" i="7"/>
  <c r="S1253" i="7" s="1"/>
  <c r="P1242" i="7"/>
  <c r="S1242" i="7" s="1"/>
  <c r="P1225" i="7"/>
  <c r="S1225" i="7" s="1"/>
  <c r="P1221" i="7"/>
  <c r="P1220" i="7"/>
  <c r="S1220" i="7" s="1"/>
  <c r="N1211" i="7"/>
  <c r="S1211" i="7" s="1"/>
  <c r="N1199" i="7"/>
  <c r="S1199" i="7" s="1"/>
  <c r="N1192" i="7"/>
  <c r="N1191" i="7"/>
  <c r="S1191" i="7" s="1"/>
  <c r="P1156" i="7"/>
  <c r="S1156" i="7" s="1"/>
  <c r="P1150" i="7"/>
  <c r="S1150" i="7" s="1"/>
  <c r="P1148" i="7"/>
  <c r="S1148" i="7" s="1"/>
  <c r="P1146" i="7"/>
  <c r="S1146" i="7" s="1"/>
  <c r="N1132" i="7"/>
  <c r="S1132" i="7" s="1"/>
  <c r="R1128" i="7"/>
  <c r="S1128" i="7" s="1"/>
  <c r="R1127" i="7"/>
  <c r="S1127" i="7" s="1"/>
  <c r="R1121" i="7"/>
  <c r="S1121" i="7" s="1"/>
  <c r="R1120" i="7"/>
  <c r="S1120" i="7" s="1"/>
  <c r="R1117" i="7"/>
  <c r="S1117" i="7" s="1"/>
  <c r="R1110" i="7"/>
  <c r="S1110" i="7" s="1"/>
  <c r="R1105" i="7"/>
  <c r="S1105" i="7" s="1"/>
  <c r="R1099" i="7"/>
  <c r="R1091" i="7"/>
  <c r="S1091" i="7" s="1"/>
  <c r="P1099" i="7"/>
  <c r="P1092" i="7"/>
  <c r="P1080" i="7"/>
  <c r="S1080" i="7" s="1"/>
  <c r="P1074" i="7"/>
  <c r="S1074" i="7" s="1"/>
  <c r="N1098" i="7"/>
  <c r="S1098" i="7" s="1"/>
  <c r="N1096" i="7"/>
  <c r="S1096" i="7" s="1"/>
  <c r="N956" i="7"/>
  <c r="S956" i="7" s="1"/>
  <c r="N949" i="7"/>
  <c r="S949" i="7" s="1"/>
  <c r="N944" i="7"/>
  <c r="S944" i="7" s="1"/>
  <c r="N928" i="7"/>
  <c r="S928" i="7" s="1"/>
  <c r="N923" i="7"/>
  <c r="S923" i="7" s="1"/>
  <c r="N922" i="7"/>
  <c r="S922" i="7" s="1"/>
  <c r="N921" i="7"/>
  <c r="S921" i="7" s="1"/>
  <c r="N912" i="7"/>
  <c r="S912" i="7" s="1"/>
  <c r="R894" i="7"/>
  <c r="S894" i="7" s="1"/>
  <c r="P893" i="7"/>
  <c r="S893" i="7" s="1"/>
  <c r="N900" i="7"/>
  <c r="S900" i="7" s="1"/>
  <c r="N892" i="7"/>
  <c r="S892" i="7" s="1"/>
  <c r="N883" i="7"/>
  <c r="S883" i="7" s="1"/>
  <c r="N880" i="7"/>
  <c r="S880" i="7" s="1"/>
  <c r="N878" i="7"/>
  <c r="S878" i="7" s="1"/>
  <c r="N876" i="7"/>
  <c r="S876" i="7" s="1"/>
  <c r="N872" i="7"/>
  <c r="S872" i="7" s="1"/>
  <c r="S870" i="7"/>
  <c r="N865" i="7"/>
  <c r="S865" i="7" s="1"/>
  <c r="N848" i="7"/>
  <c r="S848" i="7" s="1"/>
  <c r="R844" i="7"/>
  <c r="S844" i="7" s="1"/>
  <c r="P837" i="7"/>
  <c r="S837" i="7" s="1"/>
  <c r="P833" i="7"/>
  <c r="S833" i="7" s="1"/>
  <c r="P810" i="7"/>
  <c r="S810" i="7" s="1"/>
  <c r="N813" i="7"/>
  <c r="S813" i="7" s="1"/>
  <c r="N809" i="7"/>
  <c r="S809" i="7" s="1"/>
  <c r="N808" i="7"/>
  <c r="S808" i="7" s="1"/>
  <c r="N806" i="7"/>
  <c r="S806" i="7" s="1"/>
  <c r="S788" i="7"/>
  <c r="P778" i="7"/>
  <c r="S778" i="7" s="1"/>
  <c r="P761" i="7"/>
  <c r="S761" i="7" s="1"/>
  <c r="S774" i="7"/>
  <c r="N767" i="7"/>
  <c r="S767" i="7" s="1"/>
  <c r="N763" i="7"/>
  <c r="S763" i="7" s="1"/>
  <c r="R768" i="7"/>
  <c r="S768" i="7" s="1"/>
  <c r="R753" i="7"/>
  <c r="P756" i="7"/>
  <c r="S756" i="7" s="1"/>
  <c r="P753" i="7"/>
  <c r="S757" i="7"/>
  <c r="N755" i="7"/>
  <c r="S755" i="7" s="1"/>
  <c r="N753" i="7"/>
  <c r="N752" i="7"/>
  <c r="S752" i="7" s="1"/>
  <c r="N750" i="7"/>
  <c r="S750" i="7" s="1"/>
  <c r="N749" i="7"/>
  <c r="S749" i="7" s="1"/>
  <c r="N745" i="7"/>
  <c r="S745" i="7" s="1"/>
  <c r="N743" i="7"/>
  <c r="S743" i="7" s="1"/>
  <c r="N739" i="7"/>
  <c r="S739" i="7" s="1"/>
  <c r="N737" i="7"/>
  <c r="S737" i="7" s="1"/>
  <c r="R725" i="7"/>
  <c r="P725" i="7"/>
  <c r="R661" i="7"/>
  <c r="S661" i="7" s="1"/>
  <c r="R660" i="7"/>
  <c r="S660" i="7" s="1"/>
  <c r="R652" i="7"/>
  <c r="S652" i="7" s="1"/>
  <c r="R645" i="7"/>
  <c r="S645" i="7" s="1"/>
  <c r="R644" i="7"/>
  <c r="S644" i="7" s="1"/>
  <c r="R615" i="7"/>
  <c r="S615" i="7" s="1"/>
  <c r="P639" i="7"/>
  <c r="S639" i="7" s="1"/>
  <c r="S590" i="7"/>
  <c r="R592" i="7"/>
  <c r="S592" i="7" s="1"/>
  <c r="R582" i="7"/>
  <c r="S582" i="7" s="1"/>
  <c r="R581" i="7"/>
  <c r="R551" i="7"/>
  <c r="S551" i="7" s="1"/>
  <c r="R547" i="7"/>
  <c r="S547" i="7" s="1"/>
  <c r="P542" i="7"/>
  <c r="S542" i="7" s="1"/>
  <c r="R521" i="7"/>
  <c r="S521" i="7" s="1"/>
  <c r="P503" i="7"/>
  <c r="S503" i="7" s="1"/>
  <c r="R484" i="7"/>
  <c r="S484" i="7" s="1"/>
  <c r="R483" i="7"/>
  <c r="S483" i="7" s="1"/>
  <c r="R480" i="7"/>
  <c r="S480" i="7" s="1"/>
  <c r="R431" i="7"/>
  <c r="R415" i="7"/>
  <c r="S415" i="7" s="1"/>
  <c r="R412" i="7"/>
  <c r="P433" i="7"/>
  <c r="S433" i="7" s="1"/>
  <c r="P430" i="7"/>
  <c r="S430" i="7" s="1"/>
  <c r="P426" i="7"/>
  <c r="S426" i="7" s="1"/>
  <c r="P425" i="7"/>
  <c r="S425" i="7" s="1"/>
  <c r="P405" i="7"/>
  <c r="S405" i="7" s="1"/>
  <c r="P383" i="7"/>
  <c r="S383" i="7" s="1"/>
  <c r="P382" i="7"/>
  <c r="S382" i="7" s="1"/>
  <c r="P381" i="7"/>
  <c r="S381" i="7" s="1"/>
  <c r="P380" i="7"/>
  <c r="S380" i="7" s="1"/>
  <c r="R368" i="7"/>
  <c r="S368" i="7" s="1"/>
  <c r="P348" i="7"/>
  <c r="S348" i="7" s="1"/>
  <c r="P340" i="7"/>
  <c r="S340" i="7" s="1"/>
  <c r="R317" i="7"/>
  <c r="S317" i="7" s="1"/>
  <c r="S2113" i="7" l="1"/>
  <c r="S2439" i="7"/>
  <c r="S2445" i="7"/>
  <c r="S2474" i="7"/>
  <c r="S2085" i="7"/>
  <c r="S2423" i="7"/>
  <c r="S2209" i="7"/>
  <c r="S2116" i="7"/>
  <c r="S753" i="7"/>
  <c r="S1099" i="7"/>
  <c r="P316" i="7"/>
  <c r="S316" i="7" s="1"/>
  <c r="P298" i="7"/>
  <c r="S298" i="7" s="1"/>
  <c r="P297" i="7"/>
  <c r="S297" i="7" s="1"/>
  <c r="R253" i="7"/>
  <c r="S253" i="7" s="1"/>
  <c r="R243" i="7"/>
  <c r="S243" i="7" s="1"/>
  <c r="P239" i="7"/>
  <c r="R225" i="7"/>
  <c r="S225" i="7" s="1"/>
  <c r="P202" i="7"/>
  <c r="S202" i="7" s="1"/>
  <c r="P182" i="7"/>
  <c r="P180" i="7"/>
  <c r="P175" i="7"/>
  <c r="S175" i="7" s="1"/>
  <c r="S141" i="7"/>
  <c r="N138" i="7"/>
  <c r="S138" i="7" s="1"/>
  <c r="P58" i="7"/>
  <c r="S58" i="7" s="1"/>
  <c r="R45" i="7"/>
  <c r="S45" i="7" s="1"/>
  <c r="R17" i="7"/>
  <c r="S17" i="7" s="1"/>
  <c r="N725" i="7"/>
  <c r="N665" i="7"/>
  <c r="S665" i="7" s="1"/>
  <c r="N633" i="7"/>
  <c r="S633" i="7" s="1"/>
  <c r="N618" i="7"/>
  <c r="S618" i="7" s="1"/>
  <c r="N616" i="7"/>
  <c r="S616" i="7" s="1"/>
  <c r="N610" i="7"/>
  <c r="S610" i="7" s="1"/>
  <c r="N604" i="7"/>
  <c r="S604" i="7" s="1"/>
  <c r="N603" i="7"/>
  <c r="S603" i="7" s="1"/>
  <c r="N593" i="7"/>
  <c r="S593" i="7" s="1"/>
  <c r="N589" i="7"/>
  <c r="S589" i="7" s="1"/>
  <c r="N587" i="7"/>
  <c r="S587" i="7" s="1"/>
  <c r="N580" i="7"/>
  <c r="S580" i="7" s="1"/>
  <c r="N577" i="7"/>
  <c r="S577" i="7" s="1"/>
  <c r="N569" i="7"/>
  <c r="S569" i="7" s="1"/>
  <c r="N563" i="7"/>
  <c r="S563" i="7" s="1"/>
  <c r="N556" i="7"/>
  <c r="S556" i="7" s="1"/>
  <c r="N544" i="7"/>
  <c r="S544" i="7" s="1"/>
  <c r="N543" i="7"/>
  <c r="S543" i="7" s="1"/>
  <c r="N532" i="7"/>
  <c r="S532" i="7" s="1"/>
  <c r="N529" i="7"/>
  <c r="S529" i="7" s="1"/>
  <c r="N528" i="7"/>
  <c r="S528" i="7" s="1"/>
  <c r="N520" i="7"/>
  <c r="N514" i="7"/>
  <c r="S514" i="7" s="1"/>
  <c r="N499" i="7"/>
  <c r="S499" i="7" s="1"/>
  <c r="N491" i="7"/>
  <c r="S491" i="7" s="1"/>
  <c r="N490" i="7"/>
  <c r="N487" i="7"/>
  <c r="S487" i="7" s="1"/>
  <c r="N479" i="7"/>
  <c r="S479" i="7" s="1"/>
  <c r="N473" i="7"/>
  <c r="N469" i="7"/>
  <c r="S469" i="7" s="1"/>
  <c r="N468" i="7"/>
  <c r="S468" i="7" s="1"/>
  <c r="N466" i="7"/>
  <c r="N455" i="7"/>
  <c r="S455" i="7" s="1"/>
  <c r="N450" i="7"/>
  <c r="S450" i="7" s="1"/>
  <c r="N444" i="7"/>
  <c r="S444" i="7" s="1"/>
  <c r="N443" i="7"/>
  <c r="S443" i="7" s="1"/>
  <c r="N440" i="7"/>
  <c r="S440" i="7" s="1"/>
  <c r="N439" i="7"/>
  <c r="S439" i="7" s="1"/>
  <c r="N431" i="7"/>
  <c r="S431" i="7" s="1"/>
  <c r="N418" i="7"/>
  <c r="S418" i="7" s="1"/>
  <c r="N412" i="7"/>
  <c r="S412" i="7" s="1"/>
  <c r="N411" i="7"/>
  <c r="S411" i="7" s="1"/>
  <c r="N410" i="7"/>
  <c r="N409" i="7"/>
  <c r="S409" i="7" s="1"/>
  <c r="N397" i="7"/>
  <c r="S397" i="7" s="1"/>
  <c r="N396" i="7"/>
  <c r="S396" i="7" s="1"/>
  <c r="N376" i="7"/>
  <c r="S376" i="7" s="1"/>
  <c r="N373" i="7"/>
  <c r="S373" i="7" s="1"/>
  <c r="N370" i="7"/>
  <c r="S370" i="7" s="1"/>
  <c r="N369" i="7"/>
  <c r="S369" i="7" s="1"/>
  <c r="N358" i="7"/>
  <c r="S358" i="7" s="1"/>
  <c r="N354" i="7"/>
  <c r="S354" i="7" s="1"/>
  <c r="N313" i="7"/>
  <c r="S313" i="7" s="1"/>
  <c r="N312" i="7"/>
  <c r="S312" i="7" s="1"/>
  <c r="N296" i="7"/>
  <c r="S296" i="7" s="1"/>
  <c r="N290" i="7"/>
  <c r="S290" i="7" s="1"/>
  <c r="N277" i="7"/>
  <c r="S277" i="7" s="1"/>
  <c r="N272" i="7"/>
  <c r="S272" i="7" s="1"/>
  <c r="N268" i="7"/>
  <c r="S268" i="7" s="1"/>
  <c r="N267" i="7"/>
  <c r="S267" i="7" s="1"/>
  <c r="N265" i="7"/>
  <c r="N261" i="7"/>
  <c r="S261" i="7" s="1"/>
  <c r="N258" i="7"/>
  <c r="S258" i="7" s="1"/>
  <c r="N255" i="7"/>
  <c r="S255" i="7" s="1"/>
  <c r="N237" i="7"/>
  <c r="S237" i="7" s="1"/>
  <c r="N233" i="7"/>
  <c r="S233" i="7" s="1"/>
  <c r="N226" i="7"/>
  <c r="S226" i="7" s="1"/>
  <c r="N211" i="7"/>
  <c r="S211" i="7" s="1"/>
  <c r="N210" i="7"/>
  <c r="S210" i="7" s="1"/>
  <c r="N209" i="7"/>
  <c r="S209" i="7" s="1"/>
  <c r="N204" i="7"/>
  <c r="S204" i="7" s="1"/>
  <c r="N203" i="7"/>
  <c r="S203" i="7" s="1"/>
  <c r="N201" i="7"/>
  <c r="S201" i="7" s="1"/>
  <c r="N198" i="7"/>
  <c r="S198" i="7" s="1"/>
  <c r="N197" i="7"/>
  <c r="S197" i="7" s="1"/>
  <c r="N182" i="7"/>
  <c r="N152" i="7"/>
  <c r="S152" i="7" s="1"/>
  <c r="N146" i="7"/>
  <c r="S146" i="7" s="1"/>
  <c r="N30" i="7"/>
  <c r="S30" i="7" s="1"/>
  <c r="AE225" i="1"/>
  <c r="U225" i="1"/>
  <c r="V225" i="1" s="1"/>
  <c r="AF225" i="1" s="1"/>
  <c r="AU225" i="1"/>
  <c r="J1932" i="7" s="1"/>
  <c r="S182" i="7" l="1"/>
  <c r="AG225" i="1"/>
  <c r="P2226" i="7"/>
  <c r="S2226" i="7" s="1"/>
  <c r="P2225" i="7"/>
  <c r="S2225" i="7" s="1"/>
  <c r="P2224" i="7"/>
  <c r="S2224" i="7" s="1"/>
  <c r="P2223" i="7"/>
  <c r="S2223" i="7" s="1"/>
  <c r="P2222" i="7"/>
  <c r="S2222" i="7" s="1"/>
  <c r="P2221" i="7"/>
  <c r="S2221" i="7" s="1"/>
  <c r="P2220" i="7"/>
  <c r="S2220" i="7" s="1"/>
  <c r="P2219" i="7"/>
  <c r="S2219" i="7" s="1"/>
  <c r="P2218" i="7"/>
  <c r="S2218" i="7" s="1"/>
  <c r="N2236" i="7"/>
  <c r="N2235" i="7"/>
  <c r="N2234" i="7"/>
  <c r="N2233" i="7"/>
  <c r="N2232" i="7"/>
  <c r="N2231" i="7"/>
  <c r="N2230" i="7"/>
  <c r="N2229" i="7"/>
  <c r="N2228" i="7"/>
  <c r="S462" i="7"/>
  <c r="AS199" i="1"/>
  <c r="H1943" i="7" s="1"/>
  <c r="AR196" i="1"/>
  <c r="G1943" i="7" s="1"/>
  <c r="AE203" i="1"/>
  <c r="U203" i="1"/>
  <c r="V203" i="1" s="1"/>
  <c r="AF203" i="1" s="1"/>
  <c r="AE202" i="1"/>
  <c r="U202" i="1"/>
  <c r="V202" i="1" s="1"/>
  <c r="AF202" i="1" s="1"/>
  <c r="AE199" i="1"/>
  <c r="U199" i="1"/>
  <c r="V199" i="1" s="1"/>
  <c r="AF199" i="1" s="1"/>
  <c r="AE196" i="1"/>
  <c r="U196" i="1"/>
  <c r="V196" i="1" s="1"/>
  <c r="AF196" i="1" s="1"/>
  <c r="AE228" i="1"/>
  <c r="U228" i="1"/>
  <c r="V228" i="1" s="1"/>
  <c r="AF228" i="1" s="1"/>
  <c r="AE224" i="1"/>
  <c r="U224" i="1"/>
  <c r="V224" i="1" s="1"/>
  <c r="AF224" i="1" s="1"/>
  <c r="AE220" i="1"/>
  <c r="U220" i="1"/>
  <c r="V220" i="1" s="1"/>
  <c r="AF220" i="1" s="1"/>
  <c r="AV229" i="1"/>
  <c r="K1942" i="7" s="1"/>
  <c r="AV227" i="1"/>
  <c r="K1925" i="7" s="1"/>
  <c r="AU226" i="1"/>
  <c r="J1942" i="7" s="1"/>
  <c r="AU223" i="1"/>
  <c r="J1925" i="7" s="1"/>
  <c r="AV300" i="1"/>
  <c r="K2058" i="7" s="1"/>
  <c r="AU300" i="1"/>
  <c r="J2058" i="7" s="1"/>
  <c r="AU294" i="1"/>
  <c r="J2057" i="7" s="1"/>
  <c r="AT294" i="1"/>
  <c r="I2057" i="7" s="1"/>
  <c r="AS217" i="1"/>
  <c r="H1942" i="7" s="1"/>
  <c r="AT219" i="1"/>
  <c r="I1925" i="7" s="1"/>
  <c r="AT285" i="1"/>
  <c r="I2056" i="7" s="1"/>
  <c r="AS285" i="1"/>
  <c r="H2056" i="7" s="1"/>
  <c r="AS216" i="1"/>
  <c r="H1925" i="7" s="1"/>
  <c r="AS282" i="1"/>
  <c r="H2055" i="7" s="1"/>
  <c r="AR282" i="1"/>
  <c r="G2055" i="7" s="1"/>
  <c r="AT221" i="1"/>
  <c r="I1942" i="7" s="1"/>
  <c r="AV228" i="1"/>
  <c r="K1926" i="7" s="1"/>
  <c r="AU224" i="1"/>
  <c r="J1926" i="7" s="1"/>
  <c r="AT220" i="1"/>
  <c r="I1926" i="7" s="1"/>
  <c r="AE229" i="1"/>
  <c r="U229" i="1"/>
  <c r="V229" i="1" s="1"/>
  <c r="AF229" i="1" s="1"/>
  <c r="AE226" i="1"/>
  <c r="U226" i="1"/>
  <c r="V226" i="1" s="1"/>
  <c r="AF226" i="1" s="1"/>
  <c r="AE221" i="1"/>
  <c r="U221" i="1"/>
  <c r="V221" i="1" s="1"/>
  <c r="AF221" i="1" s="1"/>
  <c r="AE217" i="1"/>
  <c r="U217" i="1"/>
  <c r="V217" i="1" s="1"/>
  <c r="AF217" i="1" s="1"/>
  <c r="K1796" i="7"/>
  <c r="J1796" i="7"/>
  <c r="I1796" i="7"/>
  <c r="AE305" i="1"/>
  <c r="U305" i="1"/>
  <c r="V305" i="1" s="1"/>
  <c r="AF305" i="1" s="1"/>
  <c r="AE299" i="1"/>
  <c r="U299" i="1"/>
  <c r="V299" i="1" s="1"/>
  <c r="AF299" i="1" s="1"/>
  <c r="AE293" i="1"/>
  <c r="U293" i="1"/>
  <c r="V293" i="1" s="1"/>
  <c r="AF293" i="1" s="1"/>
  <c r="AV305" i="1"/>
  <c r="K2031" i="7" s="1"/>
  <c r="AU299" i="1"/>
  <c r="J2011" i="7" s="1"/>
  <c r="AT293" i="1"/>
  <c r="I1989" i="7" s="1"/>
  <c r="AE283" i="1"/>
  <c r="U283" i="1"/>
  <c r="V283" i="1" s="1"/>
  <c r="AF283" i="1" s="1"/>
  <c r="K725" i="7"/>
  <c r="J725" i="7"/>
  <c r="I725" i="7"/>
  <c r="H725" i="7"/>
  <c r="AS283" i="1"/>
  <c r="H1972" i="7" s="1"/>
  <c r="AE227" i="1"/>
  <c r="U227" i="1"/>
  <c r="V227" i="1" s="1"/>
  <c r="AF227" i="1" s="1"/>
  <c r="AE223" i="1"/>
  <c r="U223" i="1"/>
  <c r="V223" i="1" s="1"/>
  <c r="AF223" i="1" s="1"/>
  <c r="AE219" i="1"/>
  <c r="U219" i="1"/>
  <c r="V219" i="1" s="1"/>
  <c r="AF219" i="1" s="1"/>
  <c r="AE216" i="1"/>
  <c r="U216" i="1"/>
  <c r="V216" i="1" s="1"/>
  <c r="AF216" i="1" s="1"/>
  <c r="AE300" i="1"/>
  <c r="U300" i="1"/>
  <c r="V300" i="1" s="1"/>
  <c r="AF300" i="1" s="1"/>
  <c r="AE294" i="1"/>
  <c r="U294" i="1"/>
  <c r="V294" i="1" s="1"/>
  <c r="AF294" i="1" s="1"/>
  <c r="AE285" i="1"/>
  <c r="U285" i="1"/>
  <c r="V285" i="1" s="1"/>
  <c r="AF285" i="1" s="1"/>
  <c r="AE282" i="1"/>
  <c r="U282" i="1"/>
  <c r="V282" i="1" s="1"/>
  <c r="AF282" i="1" s="1"/>
  <c r="AG196" i="1" l="1"/>
  <c r="AG199" i="1"/>
  <c r="AG202" i="1"/>
  <c r="AG203" i="1"/>
  <c r="AG220" i="1"/>
  <c r="AG224" i="1"/>
  <c r="AG228" i="1"/>
  <c r="AG217" i="1"/>
  <c r="AG221" i="1"/>
  <c r="AG226" i="1"/>
  <c r="AG229" i="1"/>
  <c r="AG293" i="1"/>
  <c r="AG299" i="1"/>
  <c r="AG305" i="1"/>
  <c r="AG283" i="1"/>
  <c r="AG216" i="1"/>
  <c r="AG227" i="1"/>
  <c r="AG219" i="1"/>
  <c r="AG223" i="1"/>
  <c r="AG300" i="1"/>
  <c r="AG294" i="1"/>
  <c r="AG285" i="1"/>
  <c r="AG282" i="1"/>
  <c r="AE322" i="1" l="1"/>
  <c r="U322" i="1"/>
  <c r="V322" i="1" s="1"/>
  <c r="AF322" i="1" s="1"/>
  <c r="AT25" i="1"/>
  <c r="AU41" i="1"/>
  <c r="J733" i="7" s="1"/>
  <c r="M292" i="7"/>
  <c r="N292" i="7" s="1"/>
  <c r="M177" i="7"/>
  <c r="N177" i="7" s="1"/>
  <c r="AE21" i="1"/>
  <c r="U21" i="1"/>
  <c r="V21" i="1" s="1"/>
  <c r="AF21" i="1" s="1"/>
  <c r="AG322" i="1" l="1"/>
  <c r="AG21" i="1"/>
  <c r="G117" i="7"/>
  <c r="AR213" i="1" l="1"/>
  <c r="G1927" i="7" s="1"/>
  <c r="AE213" i="1"/>
  <c r="U213" i="1"/>
  <c r="V213" i="1" s="1"/>
  <c r="AF213" i="1" s="1"/>
  <c r="AG213" i="1" l="1"/>
  <c r="AS218" i="1" l="1"/>
  <c r="H1926" i="7" s="1"/>
  <c r="AE218" i="1"/>
  <c r="U218" i="1"/>
  <c r="V218" i="1" s="1"/>
  <c r="AF218" i="1" s="1"/>
  <c r="AG218" i="1" l="1"/>
  <c r="I1866" i="7" l="1"/>
  <c r="H1796" i="7" l="1"/>
  <c r="K1923" i="7"/>
  <c r="J1894" i="7"/>
  <c r="H1849" i="7" l="1"/>
  <c r="K1939" i="7" l="1"/>
  <c r="J1939" i="7"/>
  <c r="I1939" i="7"/>
  <c r="H1939" i="7"/>
  <c r="G1939" i="7"/>
  <c r="M2185" i="7"/>
  <c r="N2185" i="7" s="1"/>
  <c r="S2185" i="7" s="1"/>
  <c r="M2175" i="7"/>
  <c r="N2175" i="7" s="1"/>
  <c r="S2175" i="7" s="1"/>
  <c r="M2122" i="7"/>
  <c r="N2122" i="7" s="1"/>
  <c r="O2122" i="7"/>
  <c r="O1393" i="7"/>
  <c r="P1393" i="7" s="1"/>
  <c r="M1221" i="7"/>
  <c r="N1221" i="7" s="1"/>
  <c r="M1157" i="7"/>
  <c r="N1157" i="7" s="1"/>
  <c r="Q583" i="7"/>
  <c r="R583" i="7" s="1"/>
  <c r="Q553" i="7"/>
  <c r="R553" i="7" s="1"/>
  <c r="Q523" i="7"/>
  <c r="R523" i="7" s="1"/>
  <c r="M234" i="7"/>
  <c r="N234" i="7" s="1"/>
  <c r="H325" i="1"/>
  <c r="G590" i="7"/>
  <c r="AV307" i="1"/>
  <c r="K2460" i="7" s="1"/>
  <c r="AE307" i="1"/>
  <c r="U307" i="1"/>
  <c r="V307" i="1" s="1"/>
  <c r="AF307" i="1" s="1"/>
  <c r="AT41" i="1"/>
  <c r="I733" i="7" l="1"/>
  <c r="I762" i="7"/>
  <c r="P2122" i="7"/>
  <c r="S2122" i="7" s="1"/>
  <c r="AG307" i="1"/>
  <c r="AE256" i="1"/>
  <c r="U256" i="1"/>
  <c r="V256" i="1" s="1"/>
  <c r="AF256" i="1" s="1"/>
  <c r="AG256" i="1" l="1"/>
  <c r="G725" i="7" l="1"/>
  <c r="G1796" i="7"/>
  <c r="L1796" i="7" s="1"/>
  <c r="S1796" i="7" s="1"/>
  <c r="M406" i="7" l="1"/>
  <c r="N406" i="7" s="1"/>
  <c r="U102" i="1"/>
  <c r="V102" i="1" s="1"/>
  <c r="AF102" i="1" s="1"/>
  <c r="AE102" i="1"/>
  <c r="AG102" i="1" l="1"/>
  <c r="Q234" i="7" l="1"/>
  <c r="R234" i="7" s="1"/>
  <c r="S234" i="7" s="1"/>
  <c r="AV52" i="1" l="1"/>
  <c r="K2455" i="7" s="1"/>
  <c r="AE52" i="1"/>
  <c r="U52" i="1"/>
  <c r="V52" i="1" s="1"/>
  <c r="AF52" i="1" s="1"/>
  <c r="AG52" i="1" l="1"/>
  <c r="AE281" i="1" l="1"/>
  <c r="U281" i="1"/>
  <c r="V281" i="1" s="1"/>
  <c r="AF281" i="1" s="1"/>
  <c r="AR281" i="1"/>
  <c r="G2465" i="7" s="1"/>
  <c r="AG281" i="1" l="1"/>
  <c r="G581" i="7" l="1"/>
  <c r="AE67" i="1"/>
  <c r="U67" i="1"/>
  <c r="V67" i="1" s="1"/>
  <c r="AF67" i="1" s="1"/>
  <c r="AE257" i="1"/>
  <c r="U257" i="1"/>
  <c r="V257" i="1" s="1"/>
  <c r="AF257" i="1" s="1"/>
  <c r="AE77" i="1"/>
  <c r="U77" i="1"/>
  <c r="V77" i="1" s="1"/>
  <c r="AF77" i="1" s="1"/>
  <c r="AE96" i="1"/>
  <c r="U96" i="1"/>
  <c r="V96" i="1" s="1"/>
  <c r="AF96" i="1" s="1"/>
  <c r="AG67" i="1" l="1"/>
  <c r="AG257" i="1"/>
  <c r="AG77" i="1"/>
  <c r="AG96" i="1"/>
  <c r="K1918" i="7" l="1"/>
  <c r="J1888" i="7"/>
  <c r="I1873" i="7"/>
  <c r="H1840" i="7"/>
  <c r="G1826" i="7"/>
  <c r="G1818" i="7"/>
  <c r="K1924" i="7" l="1"/>
  <c r="H1850" i="7"/>
  <c r="J1895" i="7"/>
  <c r="I1874" i="7"/>
  <c r="G1827" i="7"/>
  <c r="AE306" i="1"/>
  <c r="U306" i="1"/>
  <c r="V306" i="1" s="1"/>
  <c r="AF306" i="1" s="1"/>
  <c r="AE292" i="1"/>
  <c r="U292" i="1"/>
  <c r="V292" i="1" s="1"/>
  <c r="AF292" i="1" s="1"/>
  <c r="AE287" i="1"/>
  <c r="U287" i="1"/>
  <c r="V287" i="1" s="1"/>
  <c r="AF287" i="1" s="1"/>
  <c r="AE295" i="1"/>
  <c r="U295" i="1"/>
  <c r="V295" i="1" s="1"/>
  <c r="AF295" i="1" s="1"/>
  <c r="AE277" i="1"/>
  <c r="U277" i="1"/>
  <c r="V277" i="1" s="1"/>
  <c r="AF277" i="1" s="1"/>
  <c r="AE304" i="1"/>
  <c r="U304" i="1"/>
  <c r="V304" i="1" s="1"/>
  <c r="AF304" i="1" s="1"/>
  <c r="AE279" i="1"/>
  <c r="U279" i="1"/>
  <c r="V279" i="1" s="1"/>
  <c r="AF279" i="1" s="1"/>
  <c r="AE200" i="1"/>
  <c r="U200" i="1"/>
  <c r="V200" i="1" s="1"/>
  <c r="AF200" i="1" s="1"/>
  <c r="AE215" i="1"/>
  <c r="U215" i="1"/>
  <c r="V215" i="1" s="1"/>
  <c r="AF215" i="1" s="1"/>
  <c r="AG295" i="1" l="1"/>
  <c r="AG279" i="1"/>
  <c r="AG287" i="1"/>
  <c r="AG277" i="1"/>
  <c r="AG306" i="1"/>
  <c r="AG200" i="1"/>
  <c r="AG304" i="1"/>
  <c r="AG292" i="1"/>
  <c r="AG215" i="1"/>
  <c r="Q2476" i="7"/>
  <c r="R2476" i="7" s="1"/>
  <c r="O2476" i="7"/>
  <c r="P2476" i="7" s="1"/>
  <c r="M2476" i="7"/>
  <c r="Q2470" i="7"/>
  <c r="R2470" i="7" s="1"/>
  <c r="O2470" i="7"/>
  <c r="P2470" i="7" s="1"/>
  <c r="M2470" i="7"/>
  <c r="N2470" i="7" s="1"/>
  <c r="Q2446" i="7"/>
  <c r="O2446" i="7"/>
  <c r="M2446" i="7"/>
  <c r="N2446" i="7" s="1"/>
  <c r="Q2425" i="7"/>
  <c r="R2425" i="7" s="1"/>
  <c r="O2425" i="7"/>
  <c r="P2425" i="7" s="1"/>
  <c r="M2425" i="7"/>
  <c r="N2425" i="7" s="1"/>
  <c r="S2279" i="7"/>
  <c r="M2227" i="7"/>
  <c r="N2227" i="7" s="1"/>
  <c r="S2227" i="7" s="1"/>
  <c r="O2217" i="7"/>
  <c r="P2217" i="7" s="1"/>
  <c r="M2217" i="7"/>
  <c r="N2217" i="7" s="1"/>
  <c r="O2205" i="7"/>
  <c r="O2206" i="7" s="1"/>
  <c r="M2165" i="7"/>
  <c r="N2165" i="7" s="1"/>
  <c r="S2165" i="7" s="1"/>
  <c r="M2155" i="7"/>
  <c r="N2155" i="7" s="1"/>
  <c r="S2155" i="7" s="1"/>
  <c r="M2107" i="7"/>
  <c r="L2106" i="7"/>
  <c r="L2100" i="7"/>
  <c r="L2098" i="7"/>
  <c r="L2097" i="7"/>
  <c r="L2096" i="7"/>
  <c r="O2090" i="7"/>
  <c r="P2090" i="7" s="1"/>
  <c r="M2090" i="7"/>
  <c r="N2090" i="7" s="1"/>
  <c r="Q2086" i="7"/>
  <c r="R2086" i="7" s="1"/>
  <c r="M2086" i="7"/>
  <c r="N2086" i="7" s="1"/>
  <c r="O2082" i="7"/>
  <c r="P2082" i="7" s="1"/>
  <c r="Q2078" i="7"/>
  <c r="O2078" i="7"/>
  <c r="M2078" i="7"/>
  <c r="N2078" i="7" s="1"/>
  <c r="Q2071" i="7"/>
  <c r="O2071" i="7"/>
  <c r="M2071" i="7"/>
  <c r="Q2048" i="7"/>
  <c r="R2048" i="7" s="1"/>
  <c r="O2048" i="7"/>
  <c r="P2048" i="7" s="1"/>
  <c r="S2047" i="7"/>
  <c r="S2046" i="7"/>
  <c r="O2043" i="7"/>
  <c r="P2043" i="7" s="1"/>
  <c r="L2041" i="7"/>
  <c r="S2041" i="7" s="1"/>
  <c r="L2040" i="7"/>
  <c r="S2040" i="7" s="1"/>
  <c r="Q2038" i="7"/>
  <c r="R2038" i="7" s="1"/>
  <c r="O2038" i="7"/>
  <c r="P2038" i="7" s="1"/>
  <c r="M2038" i="7"/>
  <c r="N2038" i="7" s="1"/>
  <c r="Q2033" i="7"/>
  <c r="R2033" i="7" s="1"/>
  <c r="O2033" i="7"/>
  <c r="P2033" i="7" s="1"/>
  <c r="M2033" i="7"/>
  <c r="N2033" i="7" s="1"/>
  <c r="Q1929" i="7"/>
  <c r="O1929" i="7"/>
  <c r="M1929" i="7"/>
  <c r="O817" i="7"/>
  <c r="P817" i="7" s="1"/>
  <c r="M817" i="7"/>
  <c r="N817" i="7" s="1"/>
  <c r="Q845" i="7"/>
  <c r="R845" i="7" s="1"/>
  <c r="O845" i="7"/>
  <c r="P845" i="7" s="1"/>
  <c r="M929" i="7"/>
  <c r="N929" i="7" s="1"/>
  <c r="S929" i="7" s="1"/>
  <c r="Q901" i="7"/>
  <c r="R901" i="7" s="1"/>
  <c r="O901" i="7"/>
  <c r="P901" i="7" s="1"/>
  <c r="M901" i="7"/>
  <c r="N901" i="7" s="1"/>
  <c r="M873" i="7"/>
  <c r="N873" i="7" s="1"/>
  <c r="S873" i="7" s="1"/>
  <c r="Q786" i="7"/>
  <c r="R786" i="7" s="1"/>
  <c r="O786" i="7"/>
  <c r="P786" i="7" s="1"/>
  <c r="M786" i="7"/>
  <c r="N786" i="7" s="1"/>
  <c r="M957" i="7"/>
  <c r="N957" i="7" s="1"/>
  <c r="S957" i="7" s="1"/>
  <c r="S789" i="7"/>
  <c r="Q758" i="7"/>
  <c r="R758" i="7" s="1"/>
  <c r="O758" i="7"/>
  <c r="P758" i="7" s="1"/>
  <c r="M758" i="7"/>
  <c r="N758" i="7" s="1"/>
  <c r="Q1534" i="7"/>
  <c r="R1534" i="7" s="1"/>
  <c r="S1534" i="7" s="1"/>
  <c r="Q1505" i="7"/>
  <c r="R1505" i="7" s="1"/>
  <c r="S1505" i="7" s="1"/>
  <c r="O1477" i="7"/>
  <c r="P1477" i="7" s="1"/>
  <c r="M1477" i="7"/>
  <c r="N1477" i="7" s="1"/>
  <c r="Q1449" i="7"/>
  <c r="R1449" i="7" s="1"/>
  <c r="O1449" i="7"/>
  <c r="P1449" i="7" s="1"/>
  <c r="M1449" i="7"/>
  <c r="N1449" i="7" s="1"/>
  <c r="M1421" i="7"/>
  <c r="N1421" i="7" s="1"/>
  <c r="S1421" i="7" s="1"/>
  <c r="Q1393" i="7"/>
  <c r="R1393" i="7" s="1"/>
  <c r="M1336" i="7"/>
  <c r="N1336" i="7" s="1"/>
  <c r="L1329" i="7"/>
  <c r="S1329" i="7" s="1"/>
  <c r="L1327" i="7"/>
  <c r="S1327" i="7" s="1"/>
  <c r="Q1277" i="7"/>
  <c r="R1277" i="7" s="1"/>
  <c r="S1277" i="7" s="1"/>
  <c r="O1249" i="7"/>
  <c r="P1249" i="7" s="1"/>
  <c r="S1249" i="7" s="1"/>
  <c r="O1157" i="7"/>
  <c r="P1157" i="7" s="1"/>
  <c r="Q1129" i="7"/>
  <c r="R1129" i="7" s="1"/>
  <c r="S1129" i="7" s="1"/>
  <c r="Q1100" i="7"/>
  <c r="R1100" i="7" s="1"/>
  <c r="O1100" i="7"/>
  <c r="P1100" i="7" s="1"/>
  <c r="M1100" i="7"/>
  <c r="N1100" i="7" s="1"/>
  <c r="Q1788" i="7"/>
  <c r="R1788" i="7" s="1"/>
  <c r="S1788" i="7" s="1"/>
  <c r="Q1785" i="7"/>
  <c r="R1785" i="7" s="1"/>
  <c r="S1785" i="7" s="1"/>
  <c r="O1777" i="7"/>
  <c r="P1777" i="7" s="1"/>
  <c r="S1777" i="7" s="1"/>
  <c r="O1772" i="7"/>
  <c r="P1772" i="7" s="1"/>
  <c r="M1772" i="7"/>
  <c r="N1772" i="7" s="1"/>
  <c r="O1741" i="7"/>
  <c r="P1741" i="7" s="1"/>
  <c r="M1741" i="7"/>
  <c r="N1741" i="7" s="1"/>
  <c r="M1713" i="7"/>
  <c r="N1713" i="7" s="1"/>
  <c r="M1685" i="7"/>
  <c r="N1685" i="7" s="1"/>
  <c r="S1685" i="7" s="1"/>
  <c r="M1654" i="7"/>
  <c r="N1654" i="7" s="1"/>
  <c r="M1625" i="7"/>
  <c r="N1625" i="7" s="1"/>
  <c r="M1592" i="7"/>
  <c r="N1592" i="7" s="1"/>
  <c r="S1592" i="7" s="1"/>
  <c r="Q668" i="7"/>
  <c r="R668" i="7" s="1"/>
  <c r="M668" i="7"/>
  <c r="N668" i="7" s="1"/>
  <c r="Q640" i="7"/>
  <c r="R640" i="7" s="1"/>
  <c r="O640" i="7"/>
  <c r="P640" i="7" s="1"/>
  <c r="M640" i="7"/>
  <c r="N640" i="7" s="1"/>
  <c r="Q612" i="7"/>
  <c r="R612" i="7" s="1"/>
  <c r="M612" i="7"/>
  <c r="N612" i="7" s="1"/>
  <c r="L612" i="7"/>
  <c r="M583" i="7"/>
  <c r="N583" i="7" s="1"/>
  <c r="O553" i="7"/>
  <c r="P553" i="7" s="1"/>
  <c r="M553" i="7"/>
  <c r="N553" i="7" s="1"/>
  <c r="O523" i="7"/>
  <c r="P523" i="7" s="1"/>
  <c r="M523" i="7"/>
  <c r="N523" i="7" s="1"/>
  <c r="Q494" i="7"/>
  <c r="R494" i="7" s="1"/>
  <c r="M494" i="7"/>
  <c r="N494" i="7" s="1"/>
  <c r="Q463" i="7"/>
  <c r="R463" i="7" s="1"/>
  <c r="M463" i="7"/>
  <c r="N463" i="7" s="1"/>
  <c r="Q434" i="7"/>
  <c r="R434" i="7" s="1"/>
  <c r="O434" i="7"/>
  <c r="P434" i="7" s="1"/>
  <c r="M434" i="7"/>
  <c r="N434" i="7" s="1"/>
  <c r="O406" i="7"/>
  <c r="P406" i="7" s="1"/>
  <c r="S406" i="7" s="1"/>
  <c r="Q377" i="7"/>
  <c r="R377" i="7" s="1"/>
  <c r="M377" i="7"/>
  <c r="N377" i="7" s="1"/>
  <c r="O349" i="7"/>
  <c r="P349" i="7" s="1"/>
  <c r="S349" i="7" s="1"/>
  <c r="Q321" i="7"/>
  <c r="R321" i="7" s="1"/>
  <c r="O321" i="7"/>
  <c r="P321" i="7" s="1"/>
  <c r="M321" i="7"/>
  <c r="N321" i="7" s="1"/>
  <c r="Q262" i="7"/>
  <c r="R262" i="7" s="1"/>
  <c r="O262" i="7"/>
  <c r="P262" i="7" s="1"/>
  <c r="M262" i="7"/>
  <c r="N262" i="7" s="1"/>
  <c r="O205" i="7"/>
  <c r="P205" i="7" s="1"/>
  <c r="M205" i="7"/>
  <c r="N205" i="7" s="1"/>
  <c r="O177" i="7"/>
  <c r="P177" i="7" s="1"/>
  <c r="M147" i="7"/>
  <c r="N147" i="7" s="1"/>
  <c r="L147" i="7"/>
  <c r="Q61" i="7"/>
  <c r="R61" i="7" s="1"/>
  <c r="O61" i="7"/>
  <c r="P61" i="7" s="1"/>
  <c r="F61" i="7"/>
  <c r="Q33" i="7"/>
  <c r="R33" i="7" s="1"/>
  <c r="M33" i="7"/>
  <c r="N33" i="7" s="1"/>
  <c r="F33" i="7"/>
  <c r="P2446" i="7" l="1"/>
  <c r="P2477" i="7" s="1"/>
  <c r="O2477" i="7"/>
  <c r="R2446" i="7"/>
  <c r="R2477" i="7" s="1"/>
  <c r="Q2477" i="7"/>
  <c r="N2476" i="7"/>
  <c r="N2477" i="7" s="1"/>
  <c r="M2477" i="7"/>
  <c r="S2086" i="7"/>
  <c r="S1477" i="7"/>
  <c r="S2048" i="7"/>
  <c r="R1929" i="7"/>
  <c r="Q1949" i="7"/>
  <c r="R1949" i="7" s="1"/>
  <c r="N1929" i="7"/>
  <c r="M1949" i="7"/>
  <c r="N1949" i="7" s="1"/>
  <c r="P2078" i="7"/>
  <c r="O2091" i="7"/>
  <c r="P2091" i="7" s="1"/>
  <c r="P1929" i="7"/>
  <c r="O1949" i="7"/>
  <c r="P1949" i="7" s="1"/>
  <c r="R2078" i="7"/>
  <c r="Q2091" i="7"/>
  <c r="R2091" i="7" s="1"/>
  <c r="S2425" i="7"/>
  <c r="S2217" i="7"/>
  <c r="N2107" i="7"/>
  <c r="M2206" i="7"/>
  <c r="N2206" i="7" s="1"/>
  <c r="P2206" i="7"/>
  <c r="P2205" i="7"/>
  <c r="S2205" i="7" s="1"/>
  <c r="N2071" i="7"/>
  <c r="M2072" i="7"/>
  <c r="N2072" i="7" s="1"/>
  <c r="R2071" i="7"/>
  <c r="Q2072" i="7"/>
  <c r="R2072" i="7" s="1"/>
  <c r="P2071" i="7"/>
  <c r="O2072" i="7"/>
  <c r="P2072" i="7" s="1"/>
  <c r="S463" i="7"/>
  <c r="S1772" i="7"/>
  <c r="S1449" i="7"/>
  <c r="S901" i="7"/>
  <c r="S845" i="7"/>
  <c r="S147" i="7"/>
  <c r="S321" i="7"/>
  <c r="S668" i="7"/>
  <c r="S640" i="7"/>
  <c r="S612" i="7"/>
  <c r="S553" i="7"/>
  <c r="O2418" i="7"/>
  <c r="P2418" i="7" s="1"/>
  <c r="Q2050" i="7"/>
  <c r="R2050" i="7" s="1"/>
  <c r="Q2426" i="7"/>
  <c r="R2426" i="7" s="1"/>
  <c r="Q726" i="7"/>
  <c r="M1307" i="7"/>
  <c r="N1307" i="7" s="1"/>
  <c r="M726" i="7"/>
  <c r="O726" i="7"/>
  <c r="Q1307" i="7"/>
  <c r="R1307" i="7" s="1"/>
  <c r="O1307" i="7"/>
  <c r="P1307" i="7" s="1"/>
  <c r="M2091" i="7"/>
  <c r="N2091" i="7" s="1"/>
  <c r="M2050" i="7"/>
  <c r="N2050" i="7" s="1"/>
  <c r="O2050" i="7"/>
  <c r="P2050" i="7" s="1"/>
  <c r="M2418" i="7"/>
  <c r="N2418" i="7" s="1"/>
  <c r="Q1563" i="7"/>
  <c r="R1563" i="7" s="1"/>
  <c r="O1563" i="7"/>
  <c r="P1563" i="7" s="1"/>
  <c r="O1070" i="7"/>
  <c r="M1070" i="7"/>
  <c r="M1795" i="7"/>
  <c r="N1795" i="7" s="1"/>
  <c r="M1563" i="7"/>
  <c r="N1563" i="7" s="1"/>
  <c r="Q1795" i="7"/>
  <c r="R1795" i="7" s="1"/>
  <c r="Q1070" i="7"/>
  <c r="O1795" i="7"/>
  <c r="P1795" i="7" s="1"/>
  <c r="R1070" i="7" l="1"/>
  <c r="Q1798" i="7"/>
  <c r="Q1799" i="7" s="1"/>
  <c r="N1070" i="7"/>
  <c r="M1798" i="7"/>
  <c r="M1799" i="7" s="1"/>
  <c r="P1070" i="7"/>
  <c r="O1798" i="7"/>
  <c r="O1799" i="7" s="1"/>
  <c r="S2418" i="7"/>
  <c r="O2426" i="7"/>
  <c r="P2426" i="7" s="1"/>
  <c r="R726" i="7"/>
  <c r="N726" i="7"/>
  <c r="P726" i="7"/>
  <c r="M2426" i="7"/>
  <c r="N2426" i="7" s="1"/>
  <c r="R1798" i="7" l="1"/>
  <c r="R1799" i="7" s="1"/>
  <c r="N1798" i="7"/>
  <c r="N1799" i="7" s="1"/>
  <c r="P1798" i="7"/>
  <c r="P1799" i="7" s="1"/>
  <c r="P2485" i="7" l="1"/>
  <c r="O2485" i="7"/>
  <c r="N2485" i="7"/>
  <c r="M2485" i="7"/>
  <c r="R2485" i="7"/>
  <c r="Q2485" i="7"/>
  <c r="AR215" i="1"/>
  <c r="G1942" i="7" s="1"/>
  <c r="AV306" i="1" l="1"/>
  <c r="K2043" i="7" s="1"/>
  <c r="AS292" i="1"/>
  <c r="H2036" i="7" s="1"/>
  <c r="AE323" i="1"/>
  <c r="U323" i="1"/>
  <c r="V323" i="1" s="1"/>
  <c r="AF323" i="1" s="1"/>
  <c r="AE319" i="1"/>
  <c r="U319" i="1"/>
  <c r="V319" i="1" s="1"/>
  <c r="AF319" i="1" s="1"/>
  <c r="AG319" i="1" l="1"/>
  <c r="AG323" i="1"/>
  <c r="AE313" i="1" l="1"/>
  <c r="U313" i="1"/>
  <c r="V313" i="1" s="1"/>
  <c r="AF313" i="1" s="1"/>
  <c r="AE83" i="1"/>
  <c r="U83" i="1"/>
  <c r="V83" i="1" s="1"/>
  <c r="AF83" i="1" s="1"/>
  <c r="AE40" i="1"/>
  <c r="U40" i="1"/>
  <c r="V40" i="1" s="1"/>
  <c r="AF40" i="1" s="1"/>
  <c r="AE120" i="1"/>
  <c r="U120" i="1"/>
  <c r="V120" i="1" s="1"/>
  <c r="AF120" i="1" s="1"/>
  <c r="AE59" i="1"/>
  <c r="U59" i="1"/>
  <c r="V59" i="1" s="1"/>
  <c r="AF59" i="1" s="1"/>
  <c r="AE22" i="1"/>
  <c r="U22" i="1"/>
  <c r="V22" i="1" s="1"/>
  <c r="AF22" i="1" s="1"/>
  <c r="AE78" i="1"/>
  <c r="U78" i="1"/>
  <c r="V78" i="1" s="1"/>
  <c r="AF78" i="1" s="1"/>
  <c r="AE19" i="1"/>
  <c r="U19" i="1"/>
  <c r="V19" i="1" s="1"/>
  <c r="AF19" i="1" s="1"/>
  <c r="AE132" i="1"/>
  <c r="U132" i="1"/>
  <c r="V132" i="1" s="1"/>
  <c r="AF132" i="1" s="1"/>
  <c r="AE114" i="1"/>
  <c r="U114" i="1"/>
  <c r="V114" i="1" s="1"/>
  <c r="AF114" i="1" s="1"/>
  <c r="AR19" i="1"/>
  <c r="G2124" i="7" s="1"/>
  <c r="AV241" i="1"/>
  <c r="K2107" i="7" s="1"/>
  <c r="AG313" i="1" l="1"/>
  <c r="AG22" i="1"/>
  <c r="AG120" i="1"/>
  <c r="AG83" i="1"/>
  <c r="AG78" i="1"/>
  <c r="AG59" i="1"/>
  <c r="AG40" i="1"/>
  <c r="AG114" i="1"/>
  <c r="AG19" i="1"/>
  <c r="AG132" i="1"/>
  <c r="AE315" i="1" l="1"/>
  <c r="U315" i="1"/>
  <c r="V315" i="1" s="1"/>
  <c r="AF315" i="1" s="1"/>
  <c r="AE284" i="1"/>
  <c r="U284" i="1"/>
  <c r="V284" i="1" s="1"/>
  <c r="AF284" i="1" s="1"/>
  <c r="AG315" i="1" l="1"/>
  <c r="AG284" i="1"/>
  <c r="AV304" i="1" l="1"/>
  <c r="K2069" i="7" s="1"/>
  <c r="AT295" i="1"/>
  <c r="I2065" i="7" s="1"/>
  <c r="AR277" i="1"/>
  <c r="AR279" i="1"/>
  <c r="G2062" i="7" s="1"/>
  <c r="AV287" i="1"/>
  <c r="AU287" i="1"/>
  <c r="J2061" i="7" s="1"/>
  <c r="AR287" i="1"/>
  <c r="G2061" i="7" s="1"/>
  <c r="AT40" i="1"/>
  <c r="I2452" i="7" s="1"/>
  <c r="AV59" i="1"/>
  <c r="K2453" i="7" s="1"/>
  <c r="AR22" i="1"/>
  <c r="G2455" i="7" s="1"/>
  <c r="AT319" i="1"/>
  <c r="I2472" i="7" s="1"/>
  <c r="AU301" i="1"/>
  <c r="J2089" i="7" s="1"/>
  <c r="AS289" i="1"/>
  <c r="H2088" i="7" s="1"/>
  <c r="AT298" i="1"/>
  <c r="I2080" i="7" s="1"/>
  <c r="AV308" i="1"/>
  <c r="K2077" i="7" s="1"/>
  <c r="AS291" i="1"/>
  <c r="H2077" i="7" s="1"/>
  <c r="AE65" i="1"/>
  <c r="U65" i="1"/>
  <c r="V65" i="1" s="1"/>
  <c r="AF65" i="1" s="1"/>
  <c r="AV60" i="1"/>
  <c r="K1653" i="7" s="1"/>
  <c r="AR16" i="1"/>
  <c r="G1712" i="7" s="1"/>
  <c r="AT42" i="1"/>
  <c r="I1716" i="7" s="1"/>
  <c r="AE87" i="1"/>
  <c r="U87" i="1"/>
  <c r="V87" i="1" s="1"/>
  <c r="AF87" i="1" s="1"/>
  <c r="AE58" i="1"/>
  <c r="U58" i="1"/>
  <c r="V58" i="1" s="1"/>
  <c r="AF58" i="1" s="1"/>
  <c r="AE92" i="1"/>
  <c r="U92" i="1"/>
  <c r="V92" i="1" s="1"/>
  <c r="AF92" i="1" s="1"/>
  <c r="AE144" i="1"/>
  <c r="U144" i="1"/>
  <c r="V144" i="1" s="1"/>
  <c r="AF144" i="1" s="1"/>
  <c r="AE27" i="1"/>
  <c r="U27" i="1"/>
  <c r="V27" i="1" s="1"/>
  <c r="AF27" i="1" s="1"/>
  <c r="AE54" i="1"/>
  <c r="U54" i="1"/>
  <c r="V54" i="1" s="1"/>
  <c r="AF54" i="1" s="1"/>
  <c r="AE127" i="1"/>
  <c r="U127" i="1"/>
  <c r="V127" i="1" s="1"/>
  <c r="AF127" i="1" s="1"/>
  <c r="AE72" i="1"/>
  <c r="U72" i="1"/>
  <c r="V72" i="1" s="1"/>
  <c r="AF72" i="1" s="1"/>
  <c r="AE74" i="1"/>
  <c r="U74" i="1"/>
  <c r="V74" i="1" s="1"/>
  <c r="AF74" i="1" s="1"/>
  <c r="AT222" i="1"/>
  <c r="I1928" i="7" s="1"/>
  <c r="G1797" i="7"/>
  <c r="L1797" i="7" s="1"/>
  <c r="S1797" i="7" s="1"/>
  <c r="G100" i="7"/>
  <c r="AS197" i="1"/>
  <c r="H2190" i="7" s="1"/>
  <c r="AR197" i="1"/>
  <c r="G2190" i="7" s="1"/>
  <c r="G2064" i="7" l="1"/>
  <c r="L1932" i="7"/>
  <c r="S1932" i="7" s="1"/>
  <c r="AG65" i="1"/>
  <c r="AG87" i="1"/>
  <c r="AG27" i="1"/>
  <c r="AG58" i="1"/>
  <c r="AG92" i="1"/>
  <c r="AG144" i="1"/>
  <c r="AG54" i="1"/>
  <c r="AG127" i="1"/>
  <c r="AG72" i="1"/>
  <c r="AG74" i="1"/>
  <c r="AU302" i="1" l="1"/>
  <c r="J2460" i="7" s="1"/>
  <c r="AU303" i="1"/>
  <c r="J2461" i="7" s="1"/>
  <c r="AV309" i="1"/>
  <c r="K2468" i="7" s="1"/>
  <c r="AT296" i="1"/>
  <c r="I2467" i="7" s="1"/>
  <c r="AS290" i="1"/>
  <c r="H2466" i="7" s="1"/>
  <c r="AT297" i="1"/>
  <c r="I2460" i="7" s="1"/>
  <c r="AS288" i="1"/>
  <c r="H2460" i="7" s="1"/>
  <c r="AR280" i="1"/>
  <c r="G2464" i="7" s="1"/>
  <c r="G1963" i="7"/>
  <c r="AR274" i="1"/>
  <c r="AR278" i="1"/>
  <c r="G2460" i="7" s="1"/>
  <c r="AS286" i="1"/>
  <c r="H1369" i="7" s="1"/>
  <c r="I1947" i="7"/>
  <c r="G1947" i="7"/>
  <c r="G492" i="7"/>
  <c r="AV54" i="1"/>
  <c r="K423" i="7" s="1"/>
  <c r="AV58" i="1"/>
  <c r="K410" i="7" s="1"/>
  <c r="J241" i="7"/>
  <c r="AV57" i="1"/>
  <c r="AV56" i="1"/>
  <c r="K490" i="7" s="1"/>
  <c r="AV53" i="1"/>
  <c r="K2435" i="7" s="1"/>
  <c r="AS27" i="1"/>
  <c r="H572" i="7" s="1"/>
  <c r="AV55" i="1"/>
  <c r="AV51" i="1"/>
  <c r="K466" i="7" s="1"/>
  <c r="G176" i="7"/>
  <c r="AU47" i="1"/>
  <c r="J156" i="7" s="1"/>
  <c r="K1364" i="7"/>
  <c r="AR17" i="1"/>
  <c r="AU44" i="1"/>
  <c r="J180" i="7" s="1"/>
  <c r="AU28" i="1"/>
  <c r="AS28" i="1"/>
  <c r="H162" i="7" s="1"/>
  <c r="K2059" i="7"/>
  <c r="AU46" i="1"/>
  <c r="AU45" i="1"/>
  <c r="J1312" i="7" s="1"/>
  <c r="AU50" i="1"/>
  <c r="AT43" i="1"/>
  <c r="AU320" i="1"/>
  <c r="J239" i="7" s="1"/>
  <c r="AT36" i="1"/>
  <c r="I482" i="7" s="1"/>
  <c r="AT34" i="1"/>
  <c r="I2433" i="7" s="1"/>
  <c r="AU39" i="1"/>
  <c r="J352" i="7" s="1"/>
  <c r="AT39" i="1"/>
  <c r="I352" i="7" s="1"/>
  <c r="AT38" i="1"/>
  <c r="AU49" i="1"/>
  <c r="J1212" i="7" s="1"/>
  <c r="AU48" i="1"/>
  <c r="J1183" i="7" s="1"/>
  <c r="AS23" i="1"/>
  <c r="H265" i="7" s="1"/>
  <c r="AS33" i="1"/>
  <c r="H1092" i="7" s="1"/>
  <c r="AT37" i="1"/>
  <c r="I747" i="7" s="1"/>
  <c r="AS26" i="1"/>
  <c r="H1075" i="7" s="1"/>
  <c r="AT35" i="1"/>
  <c r="I473" i="7" s="1"/>
  <c r="AU25" i="1"/>
  <c r="J762" i="7" s="1"/>
  <c r="AS25" i="1"/>
  <c r="H762" i="7" s="1"/>
  <c r="AS32" i="1"/>
  <c r="H744" i="7" s="1"/>
  <c r="AS30" i="1"/>
  <c r="H1172" i="7" s="1"/>
  <c r="AS31" i="1"/>
  <c r="H2449" i="7" s="1"/>
  <c r="AS29" i="1"/>
  <c r="H562" i="7" s="1"/>
  <c r="AR15" i="1"/>
  <c r="AR20" i="1"/>
  <c r="G2450" i="7" s="1"/>
  <c r="G1336" i="7"/>
  <c r="I1162" i="7"/>
  <c r="G1162" i="7"/>
  <c r="G793" i="7" l="1"/>
  <c r="L793" i="7" s="1"/>
  <c r="S793" i="7" s="1"/>
  <c r="J163" i="7"/>
  <c r="G141" i="7"/>
  <c r="G1925" i="7"/>
  <c r="J2449" i="7"/>
  <c r="J2076" i="7"/>
  <c r="K520" i="7"/>
  <c r="K2061" i="7"/>
  <c r="G1976" i="7"/>
  <c r="I1170" i="7"/>
  <c r="K117" i="7"/>
  <c r="G2483" i="7"/>
  <c r="G2481" i="7"/>
  <c r="I2483" i="7"/>
  <c r="I2481" i="7"/>
  <c r="K2483" i="7"/>
  <c r="K2481" i="7"/>
  <c r="H2483" i="7"/>
  <c r="H2481" i="7"/>
  <c r="J2483" i="7"/>
  <c r="J2481" i="7"/>
  <c r="G2054" i="7"/>
  <c r="G2059" i="7" s="1"/>
  <c r="J1201" i="7"/>
  <c r="L1201" i="7" s="1"/>
  <c r="S1201" i="7" s="1"/>
  <c r="K2462" i="7"/>
  <c r="K1138" i="7"/>
  <c r="I2458" i="7"/>
  <c r="I574" i="7"/>
  <c r="L574" i="7" s="1"/>
  <c r="S574" i="7" s="1"/>
  <c r="L473" i="7"/>
  <c r="S473" i="7" s="1"/>
  <c r="L482" i="7"/>
  <c r="S482" i="7" s="1"/>
  <c r="L180" i="7"/>
  <c r="S180" i="7" s="1"/>
  <c r="J2078" i="7"/>
  <c r="L241" i="7"/>
  <c r="S241" i="7" s="1"/>
  <c r="L162" i="7"/>
  <c r="S162" i="7" s="1"/>
  <c r="H2458" i="7"/>
  <c r="J1192" i="7"/>
  <c r="J2458" i="7"/>
  <c r="K2469" i="7"/>
  <c r="K2078" i="7"/>
  <c r="K2091" i="7" s="1"/>
  <c r="L572" i="7"/>
  <c r="S572" i="7" s="1"/>
  <c r="G1945" i="7"/>
  <c r="J1940" i="7"/>
  <c r="L1075" i="7"/>
  <c r="S1075" i="7" s="1"/>
  <c r="I1940" i="7"/>
  <c r="G1940" i="7"/>
  <c r="K1940" i="7"/>
  <c r="L562" i="7"/>
  <c r="S562" i="7" s="1"/>
  <c r="H2059" i="7"/>
  <c r="H2072" i="7" s="1"/>
  <c r="S1944" i="7"/>
  <c r="H1940" i="7"/>
  <c r="H1192" i="7"/>
  <c r="L747" i="7"/>
  <c r="S747" i="7" s="1"/>
  <c r="I1948" i="7"/>
  <c r="L163" i="7"/>
  <c r="S163" i="7" s="1"/>
  <c r="G1948" i="7"/>
  <c r="L2433" i="7"/>
  <c r="S2433" i="7" s="1"/>
  <c r="H1393" i="7"/>
  <c r="H1563" i="7" s="1"/>
  <c r="H2462" i="7"/>
  <c r="I1192" i="7"/>
  <c r="L2461" i="7"/>
  <c r="K2446" i="7"/>
  <c r="L156" i="7"/>
  <c r="S156" i="7" s="1"/>
  <c r="L2467" i="7"/>
  <c r="L2466" i="7"/>
  <c r="L1212" i="7"/>
  <c r="S1212" i="7" s="1"/>
  <c r="L1989" i="7"/>
  <c r="J1336" i="7"/>
  <c r="J1563" i="7" s="1"/>
  <c r="L520" i="7"/>
  <c r="S520" i="7" s="1"/>
  <c r="L1092" i="7"/>
  <c r="S1092" i="7" s="1"/>
  <c r="L2069" i="7"/>
  <c r="S2069" i="7" s="1"/>
  <c r="L239" i="7"/>
  <c r="S239" i="7" s="1"/>
  <c r="I2059" i="7"/>
  <c r="L2011" i="7"/>
  <c r="K2032" i="7"/>
  <c r="K2033" i="7" s="1"/>
  <c r="H292" i="7"/>
  <c r="L292" i="7" s="1"/>
  <c r="S292" i="7" s="1"/>
  <c r="L265" i="7"/>
  <c r="S265" i="7" s="1"/>
  <c r="J2090" i="7"/>
  <c r="L2064" i="7"/>
  <c r="S2064" i="7" s="1"/>
  <c r="L100" i="7"/>
  <c r="S100" i="7" s="1"/>
  <c r="K119" i="7"/>
  <c r="L744" i="7"/>
  <c r="S744" i="7" s="1"/>
  <c r="H2090" i="7"/>
  <c r="H786" i="7"/>
  <c r="G1563" i="7"/>
  <c r="L492" i="7"/>
  <c r="S492" i="7" s="1"/>
  <c r="J2071" i="7"/>
  <c r="I786" i="7"/>
  <c r="L581" i="7"/>
  <c r="S581" i="7" s="1"/>
  <c r="L2036" i="7"/>
  <c r="S2036" i="7" s="1"/>
  <c r="G2462" i="7"/>
  <c r="L1963" i="7"/>
  <c r="L2465" i="7"/>
  <c r="G1713" i="7"/>
  <c r="G1795" i="7" s="1"/>
  <c r="H2032" i="7"/>
  <c r="H2033" i="7" s="1"/>
  <c r="I377" i="7"/>
  <c r="G1163" i="7"/>
  <c r="G1307" i="7" s="1"/>
  <c r="L1927" i="7"/>
  <c r="S1927" i="7" s="1"/>
  <c r="I2071" i="7"/>
  <c r="L2088" i="7"/>
  <c r="S2088" i="7" s="1"/>
  <c r="J377" i="7"/>
  <c r="L1928" i="7"/>
  <c r="S1928" i="7" s="1"/>
  <c r="G583" i="7"/>
  <c r="G147" i="7"/>
  <c r="H2195" i="7"/>
  <c r="H2206" i="7" s="1"/>
  <c r="H2426" i="7" s="1"/>
  <c r="H2038" i="7"/>
  <c r="G612" i="7"/>
  <c r="I1163" i="7"/>
  <c r="H1163" i="7"/>
  <c r="AR13" i="1"/>
  <c r="AV13" i="1" s="1"/>
  <c r="I60" i="7"/>
  <c r="AS6" i="1"/>
  <c r="AR6" i="1"/>
  <c r="G60" i="7" s="1"/>
  <c r="AR7" i="1"/>
  <c r="G32" i="7" s="1"/>
  <c r="G1159" i="7" l="1"/>
  <c r="L2481" i="7"/>
  <c r="J2059" i="7"/>
  <c r="J2072" i="7" s="1"/>
  <c r="J1929" i="7"/>
  <c r="K1945" i="7"/>
  <c r="L1183" i="7"/>
  <c r="S1183" i="7" s="1"/>
  <c r="J1945" i="7"/>
  <c r="J205" i="7"/>
  <c r="L205" i="7" s="1"/>
  <c r="S205" i="7" s="1"/>
  <c r="I1945" i="7"/>
  <c r="L1170" i="7"/>
  <c r="S1170" i="7" s="1"/>
  <c r="I2072" i="7"/>
  <c r="L2468" i="7"/>
  <c r="L1939" i="7"/>
  <c r="S1939" i="7" s="1"/>
  <c r="K2071" i="7"/>
  <c r="K2072" i="7" s="1"/>
  <c r="L1940" i="7"/>
  <c r="S1940" i="7" s="1"/>
  <c r="J2462" i="7"/>
  <c r="J2470" i="7" s="1"/>
  <c r="J2477" i="7" s="1"/>
  <c r="K523" i="7"/>
  <c r="L2452" i="7"/>
  <c r="L762" i="7"/>
  <c r="S762" i="7" s="1"/>
  <c r="L1712" i="7"/>
  <c r="J88" i="7"/>
  <c r="J90" i="7" s="1"/>
  <c r="L176" i="7"/>
  <c r="S176" i="7" s="1"/>
  <c r="G88" i="7"/>
  <c r="I88" i="7"/>
  <c r="I90" i="7" s="1"/>
  <c r="L2455" i="7"/>
  <c r="G119" i="7"/>
  <c r="G2469" i="7"/>
  <c r="L117" i="7"/>
  <c r="S117" i="7" s="1"/>
  <c r="H1945" i="7"/>
  <c r="G2071" i="7"/>
  <c r="G2072" i="7" s="1"/>
  <c r="L1972" i="7"/>
  <c r="L352" i="7"/>
  <c r="S352" i="7" s="1"/>
  <c r="H177" i="7"/>
  <c r="G2032" i="7"/>
  <c r="J262" i="7"/>
  <c r="I583" i="7"/>
  <c r="J786" i="7"/>
  <c r="L1369" i="7"/>
  <c r="I2446" i="7"/>
  <c r="H2050" i="7"/>
  <c r="L2065" i="7"/>
  <c r="S2065" i="7" s="1"/>
  <c r="H60" i="7"/>
  <c r="H61" i="7" s="1"/>
  <c r="L1159" i="7"/>
  <c r="J2091" i="7"/>
  <c r="L733" i="7"/>
  <c r="S733" i="7" s="1"/>
  <c r="L2450" i="7"/>
  <c r="I2032" i="7"/>
  <c r="L1312" i="7"/>
  <c r="L2089" i="7"/>
  <c r="S2089" i="7" s="1"/>
  <c r="L1942" i="7"/>
  <c r="S1942" i="7" s="1"/>
  <c r="L2076" i="7"/>
  <c r="S2076" i="7" s="1"/>
  <c r="I1741" i="7"/>
  <c r="L1716" i="7"/>
  <c r="S1716" i="7" s="1"/>
  <c r="L2435" i="7"/>
  <c r="S2435" i="7" s="1"/>
  <c r="G1929" i="7"/>
  <c r="L1925" i="7"/>
  <c r="S1925" i="7" s="1"/>
  <c r="L1172" i="7"/>
  <c r="S1172" i="7" s="1"/>
  <c r="L2038" i="7"/>
  <c r="S2038" i="7" s="1"/>
  <c r="J1221" i="7"/>
  <c r="H1100" i="7"/>
  <c r="H1307" i="7" s="1"/>
  <c r="I758" i="7"/>
  <c r="I1070" i="7" s="1"/>
  <c r="L1100" i="7"/>
  <c r="S1100" i="7" s="1"/>
  <c r="H2469" i="7"/>
  <c r="H2470" i="7" s="1"/>
  <c r="H2477" i="7" s="1"/>
  <c r="G494" i="7"/>
  <c r="I2469" i="7"/>
  <c r="L2031" i="7"/>
  <c r="G177" i="7"/>
  <c r="J177" i="7"/>
  <c r="L2449" i="7"/>
  <c r="I494" i="7"/>
  <c r="H583" i="7"/>
  <c r="G817" i="7"/>
  <c r="G1070" i="7" s="1"/>
  <c r="G1798" i="7" s="1"/>
  <c r="G2458" i="7"/>
  <c r="J2032" i="7"/>
  <c r="J2033" i="7" s="1"/>
  <c r="J2050" i="7" s="1"/>
  <c r="L1943" i="7"/>
  <c r="S1943" i="7" s="1"/>
  <c r="G2195" i="7"/>
  <c r="L2195" i="7" s="1"/>
  <c r="S2195" i="7" s="1"/>
  <c r="L2190" i="7"/>
  <c r="S2190" i="7" s="1"/>
  <c r="K2458" i="7"/>
  <c r="K2470" i="7" s="1"/>
  <c r="K2477" i="7" s="1"/>
  <c r="L2453" i="7"/>
  <c r="L2061" i="7"/>
  <c r="S2061" i="7" s="1"/>
  <c r="L583" i="7"/>
  <c r="S583" i="7" s="1"/>
  <c r="L1162" i="7"/>
  <c r="S1162" i="7" s="1"/>
  <c r="L523" i="7"/>
  <c r="S523" i="7" s="1"/>
  <c r="I1307" i="7"/>
  <c r="L262" i="7"/>
  <c r="S262" i="7" s="1"/>
  <c r="L817" i="7"/>
  <c r="S817" i="7" s="1"/>
  <c r="L1163" i="7"/>
  <c r="S1163" i="7" s="1"/>
  <c r="G33" i="7"/>
  <c r="L32" i="7"/>
  <c r="S32" i="7" s="1"/>
  <c r="G61" i="7"/>
  <c r="I61" i="7"/>
  <c r="AE69" i="1"/>
  <c r="U69" i="1"/>
  <c r="V69" i="1" s="1"/>
  <c r="AF69" i="1" s="1"/>
  <c r="AE73" i="1"/>
  <c r="U73" i="1"/>
  <c r="V73" i="1" s="1"/>
  <c r="AF73" i="1" s="1"/>
  <c r="AE9" i="1"/>
  <c r="U9" i="1"/>
  <c r="V9" i="1" s="1"/>
  <c r="AF9" i="1" s="1"/>
  <c r="AE47" i="1"/>
  <c r="U47" i="1"/>
  <c r="V47" i="1" s="1"/>
  <c r="AF47" i="1" s="1"/>
  <c r="L2483" i="7" l="1"/>
  <c r="S2483" i="7" s="1"/>
  <c r="S2481" i="7"/>
  <c r="L2059" i="7"/>
  <c r="S2059" i="7" s="1"/>
  <c r="J1949" i="7"/>
  <c r="L1945" i="7"/>
  <c r="S1945" i="7" s="1"/>
  <c r="L2469" i="7"/>
  <c r="S2469" i="7" s="1"/>
  <c r="L1713" i="7"/>
  <c r="S1713" i="7" s="1"/>
  <c r="S1712" i="7"/>
  <c r="L1393" i="7"/>
  <c r="S1393" i="7" s="1"/>
  <c r="S1369" i="7"/>
  <c r="L1336" i="7"/>
  <c r="S1336" i="7" s="1"/>
  <c r="S1312" i="7"/>
  <c r="L1160" i="7"/>
  <c r="S1160" i="7" s="1"/>
  <c r="S1159" i="7"/>
  <c r="L177" i="7"/>
  <c r="S177" i="7" s="1"/>
  <c r="L786" i="7"/>
  <c r="S786" i="7" s="1"/>
  <c r="G2470" i="7"/>
  <c r="G2477" i="7" s="1"/>
  <c r="L377" i="7"/>
  <c r="S377" i="7" s="1"/>
  <c r="L2446" i="7"/>
  <c r="L119" i="7"/>
  <c r="S119" i="7" s="1"/>
  <c r="J726" i="7"/>
  <c r="I726" i="7"/>
  <c r="L60" i="7"/>
  <c r="S60" i="7" s="1"/>
  <c r="J1307" i="7"/>
  <c r="L1221" i="7"/>
  <c r="S1221" i="7" s="1"/>
  <c r="H726" i="7"/>
  <c r="L88" i="7"/>
  <c r="S88" i="7" s="1"/>
  <c r="G90" i="7"/>
  <c r="L90" i="7" s="1"/>
  <c r="S90" i="7" s="1"/>
  <c r="L725" i="7"/>
  <c r="S725" i="7" s="1"/>
  <c r="L2090" i="7"/>
  <c r="S2090" i="7" s="1"/>
  <c r="L1192" i="7"/>
  <c r="S1192" i="7" s="1"/>
  <c r="L1741" i="7"/>
  <c r="S1741" i="7" s="1"/>
  <c r="L2458" i="7"/>
  <c r="S2458" i="7" s="1"/>
  <c r="L2071" i="7"/>
  <c r="S2071" i="7" s="1"/>
  <c r="L2124" i="7"/>
  <c r="S2124" i="7" s="1"/>
  <c r="G2125" i="7"/>
  <c r="L33" i="7"/>
  <c r="S33" i="7" s="1"/>
  <c r="L61" i="7"/>
  <c r="S61" i="7" s="1"/>
  <c r="AG69" i="1"/>
  <c r="AG73" i="1"/>
  <c r="AG9" i="1"/>
  <c r="AG47" i="1"/>
  <c r="S2446" i="7" l="1"/>
  <c r="G726" i="7"/>
  <c r="G1799" i="7" s="1"/>
  <c r="L2125" i="7"/>
  <c r="S2125" i="7" s="1"/>
  <c r="G2206" i="7"/>
  <c r="L2072" i="7"/>
  <c r="S2072" i="7" s="1"/>
  <c r="AV4" i="1"/>
  <c r="AU4" i="1"/>
  <c r="AT4" i="1"/>
  <c r="AS4" i="1"/>
  <c r="AR4" i="1"/>
  <c r="G2426" i="7" l="1"/>
  <c r="AE185" i="1"/>
  <c r="AE194" i="1"/>
  <c r="AE91" i="1"/>
  <c r="AE184" i="1"/>
  <c r="AE176" i="1"/>
  <c r="AE186" i="1"/>
  <c r="AE158" i="1"/>
  <c r="AE193" i="1"/>
  <c r="AE188" i="1"/>
  <c r="AE191" i="1"/>
  <c r="AE154" i="1"/>
  <c r="AE301" i="1"/>
  <c r="AE173" i="1"/>
  <c r="AE179" i="1"/>
  <c r="AE182" i="1"/>
  <c r="AE180" i="1"/>
  <c r="AE124" i="1"/>
  <c r="AE162" i="1"/>
  <c r="AE190" i="1"/>
  <c r="AE209" i="1"/>
  <c r="AE210" i="1"/>
  <c r="AE167" i="1"/>
  <c r="AE187" i="1"/>
  <c r="AE157" i="1"/>
  <c r="AE289" i="1"/>
  <c r="AE171" i="1"/>
  <c r="AE264" i="1"/>
  <c r="AE169" i="1"/>
  <c r="AE70" i="1"/>
  <c r="AE156" i="1"/>
  <c r="AE71" i="1"/>
  <c r="AE175" i="1"/>
  <c r="AE174" i="1"/>
  <c r="AE240" i="1"/>
  <c r="AE267" i="1"/>
  <c r="AE155" i="1"/>
  <c r="AE81" i="1"/>
  <c r="AE266" i="1"/>
  <c r="AE262" i="1"/>
  <c r="AE153" i="1"/>
  <c r="AE84" i="1"/>
  <c r="AE183" i="1"/>
  <c r="AE314" i="1"/>
  <c r="AE268" i="1"/>
  <c r="AE170" i="1"/>
  <c r="AE159" i="1"/>
  <c r="AE126" i="1"/>
  <c r="AE260" i="1"/>
  <c r="AE258" i="1"/>
  <c r="AE243" i="1"/>
  <c r="AE63" i="1"/>
  <c r="AE104" i="1"/>
  <c r="AE168" i="1"/>
  <c r="AE298" i="1"/>
  <c r="AE147" i="1"/>
  <c r="AE253" i="1"/>
  <c r="AE161" i="1"/>
  <c r="AE308" i="1"/>
  <c r="AE57" i="1"/>
  <c r="AE254" i="1"/>
  <c r="AE261" i="1"/>
  <c r="AE89" i="1"/>
  <c r="AE178" i="1"/>
  <c r="AE151" i="1"/>
  <c r="AE139" i="1"/>
  <c r="AE189" i="1"/>
  <c r="AE302" i="1"/>
  <c r="AE303" i="1"/>
  <c r="AE141" i="1"/>
  <c r="AE321" i="1"/>
  <c r="AE95" i="1"/>
  <c r="AE121" i="1"/>
  <c r="AE60" i="1"/>
  <c r="AE237" i="1"/>
  <c r="AE142" i="1"/>
  <c r="AE125" i="1"/>
  <c r="AE61" i="1"/>
  <c r="AE166" i="1"/>
  <c r="AE109" i="1"/>
  <c r="AE140" i="1"/>
  <c r="AE56" i="1"/>
  <c r="AE137" i="1"/>
  <c r="AE252" i="1"/>
  <c r="AE122" i="1"/>
  <c r="AE131" i="1"/>
  <c r="AE251" i="1"/>
  <c r="AE259" i="1"/>
  <c r="AE100" i="1"/>
  <c r="AE113" i="1"/>
  <c r="AE135" i="1"/>
  <c r="AE101" i="1"/>
  <c r="AE105" i="1"/>
  <c r="AE255" i="1"/>
  <c r="AE53" i="1"/>
  <c r="AE123" i="1"/>
  <c r="AE143" i="1"/>
  <c r="AE248" i="1"/>
  <c r="AE177" i="1"/>
  <c r="AE150" i="1"/>
  <c r="AE249" i="1"/>
  <c r="AE246" i="1"/>
  <c r="AE148" i="1"/>
  <c r="AE152" i="1"/>
  <c r="AE136" i="1"/>
  <c r="AE247" i="1"/>
  <c r="AE112" i="1"/>
  <c r="AE80" i="1"/>
  <c r="AE111" i="1"/>
  <c r="AE309" i="1"/>
  <c r="AE265" i="1"/>
  <c r="AE164" i="1"/>
  <c r="AE103" i="1"/>
  <c r="AE291" i="1"/>
  <c r="AE198" i="1"/>
  <c r="AE68" i="1"/>
  <c r="AE94" i="1"/>
  <c r="AE90" i="1"/>
  <c r="AE134" i="1"/>
  <c r="AE207" i="1"/>
  <c r="AE204" i="1"/>
  <c r="AE208" i="1"/>
  <c r="AE206" i="1"/>
  <c r="AE55" i="1"/>
  <c r="AE145" i="1"/>
  <c r="AE93" i="1"/>
  <c r="AE160" i="1"/>
  <c r="AE129" i="1"/>
  <c r="AE51" i="1"/>
  <c r="AE85" i="1"/>
  <c r="AE79" i="1"/>
  <c r="AE115" i="1"/>
  <c r="AE138" i="1"/>
  <c r="AE76" i="1"/>
  <c r="AE296" i="1"/>
  <c r="AE290" i="1"/>
  <c r="AE149" i="1"/>
  <c r="AE64" i="1"/>
  <c r="AE276" i="1"/>
  <c r="AE110" i="1"/>
  <c r="AE239" i="1"/>
  <c r="AE117" i="1"/>
  <c r="AE118" i="1"/>
  <c r="AE108" i="1"/>
  <c r="AE231" i="1"/>
  <c r="AE230" i="1"/>
  <c r="AE165" i="1"/>
  <c r="AE107" i="1"/>
  <c r="AE133" i="1"/>
  <c r="AE116" i="1"/>
  <c r="AE172" i="1"/>
  <c r="AE66" i="1"/>
  <c r="AE286" i="1"/>
  <c r="AE163" i="1"/>
  <c r="AE10" i="1"/>
  <c r="AE128" i="1"/>
  <c r="AE17" i="1"/>
  <c r="AE44" i="1"/>
  <c r="AE82" i="1"/>
  <c r="AE263" i="1"/>
  <c r="AE99" i="1"/>
  <c r="AE324" i="1"/>
  <c r="AE86" i="1"/>
  <c r="AE28" i="1"/>
  <c r="AE97" i="1"/>
  <c r="AE41" i="1"/>
  <c r="AE16" i="1"/>
  <c r="AE46" i="1"/>
  <c r="AE297" i="1"/>
  <c r="AE119" i="1"/>
  <c r="AE205" i="1"/>
  <c r="AE45" i="1"/>
  <c r="AE50" i="1"/>
  <c r="AE146" i="1"/>
  <c r="AE242" i="1"/>
  <c r="AE245" i="1"/>
  <c r="AE43" i="1"/>
  <c r="AE320" i="1"/>
  <c r="AE36" i="1"/>
  <c r="AE201" i="1"/>
  <c r="AE98" i="1"/>
  <c r="AE88" i="1"/>
  <c r="AE106" i="1"/>
  <c r="AE42" i="1"/>
  <c r="AE34" i="1"/>
  <c r="AE75" i="1"/>
  <c r="AE238" i="1"/>
  <c r="AE39" i="1"/>
  <c r="AE38" i="1"/>
  <c r="AE241" i="1"/>
  <c r="AE244" i="1"/>
  <c r="AE49" i="1"/>
  <c r="AE48" i="1"/>
  <c r="AE23" i="1"/>
  <c r="AE222" i="1"/>
  <c r="AE197" i="1"/>
  <c r="AE33" i="1"/>
  <c r="AE288" i="1"/>
  <c r="AE37" i="1"/>
  <c r="AE26" i="1"/>
  <c r="AE35" i="1"/>
  <c r="AE14" i="1"/>
  <c r="AE25" i="1"/>
  <c r="AE310" i="1"/>
  <c r="AE32" i="1"/>
  <c r="AE30" i="1"/>
  <c r="AE236" i="1"/>
  <c r="AE13" i="1"/>
  <c r="AE280" i="1"/>
  <c r="AE275" i="1"/>
  <c r="AE31" i="1"/>
  <c r="AE235" i="1"/>
  <c r="AE234" i="1"/>
  <c r="AE29" i="1"/>
  <c r="AE317" i="1"/>
  <c r="AE311" i="1"/>
  <c r="AE15" i="1"/>
  <c r="AE11" i="1"/>
  <c r="AE312" i="1"/>
  <c r="AE274" i="1"/>
  <c r="AE62" i="1"/>
  <c r="AE318" i="1"/>
  <c r="AE278" i="1"/>
  <c r="AE250" i="1"/>
  <c r="AE20" i="1"/>
  <c r="AE212" i="1"/>
  <c r="AE12" i="1"/>
  <c r="AE8" i="1"/>
  <c r="AE6" i="1"/>
  <c r="AE7" i="1"/>
  <c r="U3" i="1"/>
  <c r="U185" i="1"/>
  <c r="V185" i="1" s="1"/>
  <c r="AF185" i="1" s="1"/>
  <c r="U194" i="1"/>
  <c r="V194" i="1" s="1"/>
  <c r="AF194" i="1" s="1"/>
  <c r="U91" i="1"/>
  <c r="V91" i="1" s="1"/>
  <c r="AF91" i="1" s="1"/>
  <c r="U184" i="1"/>
  <c r="V184" i="1" s="1"/>
  <c r="AF184" i="1" s="1"/>
  <c r="U176" i="1"/>
  <c r="V176" i="1" s="1"/>
  <c r="AF176" i="1" s="1"/>
  <c r="U186" i="1"/>
  <c r="V186" i="1" s="1"/>
  <c r="AF186" i="1" s="1"/>
  <c r="U158" i="1"/>
  <c r="V158" i="1" s="1"/>
  <c r="AF158" i="1" s="1"/>
  <c r="U193" i="1"/>
  <c r="V193" i="1" s="1"/>
  <c r="AF193" i="1" s="1"/>
  <c r="U188" i="1"/>
  <c r="V188" i="1" s="1"/>
  <c r="AF188" i="1" s="1"/>
  <c r="U191" i="1"/>
  <c r="V191" i="1" s="1"/>
  <c r="AF191" i="1" s="1"/>
  <c r="U154" i="1"/>
  <c r="V154" i="1" s="1"/>
  <c r="AF154" i="1" s="1"/>
  <c r="U301" i="1"/>
  <c r="V301" i="1" s="1"/>
  <c r="AF301" i="1" s="1"/>
  <c r="U173" i="1"/>
  <c r="V173" i="1" s="1"/>
  <c r="AF173" i="1" s="1"/>
  <c r="U179" i="1"/>
  <c r="V179" i="1" s="1"/>
  <c r="AF179" i="1" s="1"/>
  <c r="U182" i="1"/>
  <c r="V182" i="1" s="1"/>
  <c r="AF182" i="1" s="1"/>
  <c r="U180" i="1"/>
  <c r="V180" i="1" s="1"/>
  <c r="AF180" i="1" s="1"/>
  <c r="U124" i="1"/>
  <c r="V124" i="1" s="1"/>
  <c r="AF124" i="1" s="1"/>
  <c r="U162" i="1"/>
  <c r="V162" i="1" s="1"/>
  <c r="AF162" i="1" s="1"/>
  <c r="U190" i="1"/>
  <c r="V190" i="1" s="1"/>
  <c r="AF190" i="1" s="1"/>
  <c r="U209" i="1"/>
  <c r="V209" i="1" s="1"/>
  <c r="AF209" i="1" s="1"/>
  <c r="U210" i="1"/>
  <c r="V210" i="1" s="1"/>
  <c r="AF210" i="1" s="1"/>
  <c r="U167" i="1"/>
  <c r="V167" i="1" s="1"/>
  <c r="AF167" i="1" s="1"/>
  <c r="U187" i="1"/>
  <c r="V187" i="1" s="1"/>
  <c r="AF187" i="1" s="1"/>
  <c r="U157" i="1"/>
  <c r="V157" i="1" s="1"/>
  <c r="AF157" i="1" s="1"/>
  <c r="U289" i="1"/>
  <c r="V289" i="1" s="1"/>
  <c r="AF289" i="1" s="1"/>
  <c r="U171" i="1"/>
  <c r="V171" i="1" s="1"/>
  <c r="AF171" i="1" s="1"/>
  <c r="U264" i="1"/>
  <c r="V264" i="1" s="1"/>
  <c r="AF264" i="1" s="1"/>
  <c r="U169" i="1"/>
  <c r="V169" i="1" s="1"/>
  <c r="AF169" i="1" s="1"/>
  <c r="U70" i="1"/>
  <c r="V70" i="1" s="1"/>
  <c r="AF70" i="1" s="1"/>
  <c r="U156" i="1"/>
  <c r="V156" i="1" s="1"/>
  <c r="AF156" i="1" s="1"/>
  <c r="U71" i="1"/>
  <c r="V71" i="1" s="1"/>
  <c r="AF71" i="1" s="1"/>
  <c r="U175" i="1"/>
  <c r="V175" i="1" s="1"/>
  <c r="AF175" i="1" s="1"/>
  <c r="U174" i="1"/>
  <c r="V174" i="1" s="1"/>
  <c r="AF174" i="1" s="1"/>
  <c r="U240" i="1"/>
  <c r="V240" i="1" s="1"/>
  <c r="AF240" i="1" s="1"/>
  <c r="U267" i="1"/>
  <c r="V267" i="1" s="1"/>
  <c r="AF267" i="1" s="1"/>
  <c r="U155" i="1"/>
  <c r="V155" i="1" s="1"/>
  <c r="AF155" i="1" s="1"/>
  <c r="U81" i="1"/>
  <c r="V81" i="1" s="1"/>
  <c r="AF81" i="1" s="1"/>
  <c r="U266" i="1"/>
  <c r="V266" i="1" s="1"/>
  <c r="AF266" i="1" s="1"/>
  <c r="U262" i="1"/>
  <c r="V262" i="1" s="1"/>
  <c r="AF262" i="1" s="1"/>
  <c r="U153" i="1"/>
  <c r="V153" i="1" s="1"/>
  <c r="AF153" i="1" s="1"/>
  <c r="U84" i="1"/>
  <c r="V84" i="1" s="1"/>
  <c r="AF84" i="1" s="1"/>
  <c r="U183" i="1"/>
  <c r="V183" i="1" s="1"/>
  <c r="AF183" i="1" s="1"/>
  <c r="U314" i="1"/>
  <c r="V314" i="1" s="1"/>
  <c r="AF314" i="1" s="1"/>
  <c r="U268" i="1"/>
  <c r="V268" i="1" s="1"/>
  <c r="AF268" i="1" s="1"/>
  <c r="U170" i="1"/>
  <c r="V170" i="1" s="1"/>
  <c r="AF170" i="1" s="1"/>
  <c r="U159" i="1"/>
  <c r="V159" i="1" s="1"/>
  <c r="AF159" i="1" s="1"/>
  <c r="U126" i="1"/>
  <c r="V126" i="1" s="1"/>
  <c r="AF126" i="1" s="1"/>
  <c r="U260" i="1"/>
  <c r="V260" i="1" s="1"/>
  <c r="AF260" i="1" s="1"/>
  <c r="U258" i="1"/>
  <c r="V258" i="1" s="1"/>
  <c r="AF258" i="1" s="1"/>
  <c r="U243" i="1"/>
  <c r="V243" i="1" s="1"/>
  <c r="AF243" i="1" s="1"/>
  <c r="U63" i="1"/>
  <c r="V63" i="1" s="1"/>
  <c r="AF63" i="1" s="1"/>
  <c r="U104" i="1"/>
  <c r="V104" i="1" s="1"/>
  <c r="AF104" i="1" s="1"/>
  <c r="U168" i="1"/>
  <c r="V168" i="1" s="1"/>
  <c r="AF168" i="1" s="1"/>
  <c r="U298" i="1"/>
  <c r="V298" i="1" s="1"/>
  <c r="AF298" i="1" s="1"/>
  <c r="U147" i="1"/>
  <c r="V147" i="1" s="1"/>
  <c r="AF147" i="1" s="1"/>
  <c r="U253" i="1"/>
  <c r="V253" i="1" s="1"/>
  <c r="AF253" i="1" s="1"/>
  <c r="U161" i="1"/>
  <c r="V161" i="1" s="1"/>
  <c r="AF161" i="1" s="1"/>
  <c r="U308" i="1"/>
  <c r="V308" i="1" s="1"/>
  <c r="AF308" i="1" s="1"/>
  <c r="U57" i="1"/>
  <c r="V57" i="1" s="1"/>
  <c r="AF57" i="1" s="1"/>
  <c r="U254" i="1"/>
  <c r="V254" i="1" s="1"/>
  <c r="AF254" i="1" s="1"/>
  <c r="U261" i="1"/>
  <c r="V261" i="1" s="1"/>
  <c r="AF261" i="1" s="1"/>
  <c r="U89" i="1"/>
  <c r="V89" i="1" s="1"/>
  <c r="AF89" i="1" s="1"/>
  <c r="U178" i="1"/>
  <c r="V178" i="1" s="1"/>
  <c r="AF178" i="1" s="1"/>
  <c r="U151" i="1"/>
  <c r="V151" i="1" s="1"/>
  <c r="AF151" i="1" s="1"/>
  <c r="U139" i="1"/>
  <c r="V139" i="1" s="1"/>
  <c r="AF139" i="1" s="1"/>
  <c r="U189" i="1"/>
  <c r="V189" i="1" s="1"/>
  <c r="AF189" i="1" s="1"/>
  <c r="U302" i="1"/>
  <c r="V302" i="1" s="1"/>
  <c r="AF302" i="1" s="1"/>
  <c r="U303" i="1"/>
  <c r="V303" i="1" s="1"/>
  <c r="AF303" i="1" s="1"/>
  <c r="U141" i="1"/>
  <c r="V141" i="1" s="1"/>
  <c r="AF141" i="1" s="1"/>
  <c r="U321" i="1"/>
  <c r="V321" i="1" s="1"/>
  <c r="AF321" i="1" s="1"/>
  <c r="U95" i="1"/>
  <c r="V95" i="1" s="1"/>
  <c r="AF95" i="1" s="1"/>
  <c r="U121" i="1"/>
  <c r="V121" i="1" s="1"/>
  <c r="AF121" i="1" s="1"/>
  <c r="U60" i="1"/>
  <c r="V60" i="1" s="1"/>
  <c r="AF60" i="1" s="1"/>
  <c r="U237" i="1"/>
  <c r="V237" i="1" s="1"/>
  <c r="AF237" i="1" s="1"/>
  <c r="U142" i="1"/>
  <c r="V142" i="1" s="1"/>
  <c r="AF142" i="1" s="1"/>
  <c r="U125" i="1"/>
  <c r="V125" i="1" s="1"/>
  <c r="AF125" i="1" s="1"/>
  <c r="U61" i="1"/>
  <c r="V61" i="1" s="1"/>
  <c r="AF61" i="1" s="1"/>
  <c r="U166" i="1"/>
  <c r="V166" i="1" s="1"/>
  <c r="AF166" i="1" s="1"/>
  <c r="U109" i="1"/>
  <c r="V109" i="1" s="1"/>
  <c r="AF109" i="1" s="1"/>
  <c r="U140" i="1"/>
  <c r="V140" i="1" s="1"/>
  <c r="AF140" i="1" s="1"/>
  <c r="U56" i="1"/>
  <c r="V56" i="1" s="1"/>
  <c r="AF56" i="1" s="1"/>
  <c r="U137" i="1"/>
  <c r="V137" i="1" s="1"/>
  <c r="AF137" i="1" s="1"/>
  <c r="U252" i="1"/>
  <c r="V252" i="1" s="1"/>
  <c r="AF252" i="1" s="1"/>
  <c r="U122" i="1"/>
  <c r="V122" i="1" s="1"/>
  <c r="AF122" i="1" s="1"/>
  <c r="U131" i="1"/>
  <c r="V131" i="1" s="1"/>
  <c r="AF131" i="1" s="1"/>
  <c r="U251" i="1"/>
  <c r="V251" i="1" s="1"/>
  <c r="AF251" i="1" s="1"/>
  <c r="U259" i="1"/>
  <c r="V259" i="1" s="1"/>
  <c r="AF259" i="1" s="1"/>
  <c r="U100" i="1"/>
  <c r="V100" i="1" s="1"/>
  <c r="AF100" i="1" s="1"/>
  <c r="U113" i="1"/>
  <c r="V113" i="1" s="1"/>
  <c r="AF113" i="1" s="1"/>
  <c r="U135" i="1"/>
  <c r="V135" i="1" s="1"/>
  <c r="AF135" i="1" s="1"/>
  <c r="U101" i="1"/>
  <c r="V101" i="1" s="1"/>
  <c r="AF101" i="1" s="1"/>
  <c r="U105" i="1"/>
  <c r="V105" i="1" s="1"/>
  <c r="AF105" i="1" s="1"/>
  <c r="U255" i="1"/>
  <c r="V255" i="1" s="1"/>
  <c r="AF255" i="1" s="1"/>
  <c r="U53" i="1"/>
  <c r="V53" i="1" s="1"/>
  <c r="AF53" i="1" s="1"/>
  <c r="U123" i="1"/>
  <c r="V123" i="1" s="1"/>
  <c r="AF123" i="1" s="1"/>
  <c r="U143" i="1"/>
  <c r="V143" i="1" s="1"/>
  <c r="AF143" i="1" s="1"/>
  <c r="U248" i="1"/>
  <c r="V248" i="1" s="1"/>
  <c r="AF248" i="1" s="1"/>
  <c r="U177" i="1"/>
  <c r="V177" i="1" s="1"/>
  <c r="AF177" i="1" s="1"/>
  <c r="U150" i="1"/>
  <c r="V150" i="1" s="1"/>
  <c r="AF150" i="1" s="1"/>
  <c r="U249" i="1"/>
  <c r="V249" i="1" s="1"/>
  <c r="AF249" i="1" s="1"/>
  <c r="U246" i="1"/>
  <c r="V246" i="1" s="1"/>
  <c r="AF246" i="1" s="1"/>
  <c r="U148" i="1"/>
  <c r="V148" i="1" s="1"/>
  <c r="AF148" i="1" s="1"/>
  <c r="U152" i="1"/>
  <c r="V152" i="1" s="1"/>
  <c r="AF152" i="1" s="1"/>
  <c r="U136" i="1"/>
  <c r="V136" i="1" s="1"/>
  <c r="AF136" i="1" s="1"/>
  <c r="U247" i="1"/>
  <c r="V247" i="1" s="1"/>
  <c r="AF247" i="1" s="1"/>
  <c r="U112" i="1"/>
  <c r="V112" i="1" s="1"/>
  <c r="AF112" i="1" s="1"/>
  <c r="U80" i="1"/>
  <c r="V80" i="1" s="1"/>
  <c r="AF80" i="1" s="1"/>
  <c r="U111" i="1"/>
  <c r="V111" i="1" s="1"/>
  <c r="AF111" i="1" s="1"/>
  <c r="U309" i="1"/>
  <c r="V309" i="1" s="1"/>
  <c r="AF309" i="1" s="1"/>
  <c r="U265" i="1"/>
  <c r="V265" i="1" s="1"/>
  <c r="AF265" i="1" s="1"/>
  <c r="U164" i="1"/>
  <c r="V164" i="1" s="1"/>
  <c r="AF164" i="1" s="1"/>
  <c r="U103" i="1"/>
  <c r="V103" i="1" s="1"/>
  <c r="AF103" i="1" s="1"/>
  <c r="U291" i="1"/>
  <c r="V291" i="1" s="1"/>
  <c r="AF291" i="1" s="1"/>
  <c r="U198" i="1"/>
  <c r="V198" i="1" s="1"/>
  <c r="AF198" i="1" s="1"/>
  <c r="U68" i="1"/>
  <c r="V68" i="1" s="1"/>
  <c r="AF68" i="1" s="1"/>
  <c r="U94" i="1"/>
  <c r="V94" i="1" s="1"/>
  <c r="AF94" i="1" s="1"/>
  <c r="U90" i="1"/>
  <c r="V90" i="1" s="1"/>
  <c r="AF90" i="1" s="1"/>
  <c r="U134" i="1"/>
  <c r="V134" i="1" s="1"/>
  <c r="AF134" i="1" s="1"/>
  <c r="U207" i="1"/>
  <c r="V207" i="1" s="1"/>
  <c r="AF207" i="1" s="1"/>
  <c r="U204" i="1"/>
  <c r="V204" i="1" s="1"/>
  <c r="AF204" i="1" s="1"/>
  <c r="U208" i="1"/>
  <c r="V208" i="1" s="1"/>
  <c r="AF208" i="1" s="1"/>
  <c r="U206" i="1"/>
  <c r="V206" i="1" s="1"/>
  <c r="AF206" i="1" s="1"/>
  <c r="U55" i="1"/>
  <c r="V55" i="1" s="1"/>
  <c r="AF55" i="1" s="1"/>
  <c r="U145" i="1"/>
  <c r="V145" i="1" s="1"/>
  <c r="AF145" i="1" s="1"/>
  <c r="U93" i="1"/>
  <c r="V93" i="1" s="1"/>
  <c r="AF93" i="1" s="1"/>
  <c r="U160" i="1"/>
  <c r="V160" i="1" s="1"/>
  <c r="AF160" i="1" s="1"/>
  <c r="U129" i="1"/>
  <c r="V129" i="1" s="1"/>
  <c r="AF129" i="1" s="1"/>
  <c r="U51" i="1"/>
  <c r="V51" i="1" s="1"/>
  <c r="AF51" i="1" s="1"/>
  <c r="U85" i="1"/>
  <c r="V85" i="1" s="1"/>
  <c r="AF85" i="1" s="1"/>
  <c r="U79" i="1"/>
  <c r="V79" i="1" s="1"/>
  <c r="AF79" i="1" s="1"/>
  <c r="U115" i="1"/>
  <c r="V115" i="1" s="1"/>
  <c r="AF115" i="1" s="1"/>
  <c r="U138" i="1"/>
  <c r="V138" i="1" s="1"/>
  <c r="AF138" i="1" s="1"/>
  <c r="U76" i="1"/>
  <c r="V76" i="1" s="1"/>
  <c r="AF76" i="1" s="1"/>
  <c r="U296" i="1"/>
  <c r="V296" i="1" s="1"/>
  <c r="AF296" i="1" s="1"/>
  <c r="U290" i="1"/>
  <c r="V290" i="1" s="1"/>
  <c r="AF290" i="1" s="1"/>
  <c r="U149" i="1"/>
  <c r="V149" i="1" s="1"/>
  <c r="AF149" i="1" s="1"/>
  <c r="U64" i="1"/>
  <c r="V64" i="1" s="1"/>
  <c r="AF64" i="1" s="1"/>
  <c r="U276" i="1"/>
  <c r="V276" i="1" s="1"/>
  <c r="AF276" i="1" s="1"/>
  <c r="U110" i="1"/>
  <c r="V110" i="1" s="1"/>
  <c r="AF110" i="1" s="1"/>
  <c r="U239" i="1"/>
  <c r="V239" i="1" s="1"/>
  <c r="AF239" i="1" s="1"/>
  <c r="U117" i="1"/>
  <c r="V117" i="1" s="1"/>
  <c r="AF117" i="1" s="1"/>
  <c r="U118" i="1"/>
  <c r="V118" i="1" s="1"/>
  <c r="AF118" i="1" s="1"/>
  <c r="U108" i="1"/>
  <c r="V108" i="1" s="1"/>
  <c r="AF108" i="1" s="1"/>
  <c r="U231" i="1"/>
  <c r="V231" i="1" s="1"/>
  <c r="AF231" i="1" s="1"/>
  <c r="U230" i="1"/>
  <c r="V230" i="1" s="1"/>
  <c r="AF230" i="1" s="1"/>
  <c r="U165" i="1"/>
  <c r="V165" i="1" s="1"/>
  <c r="AF165" i="1" s="1"/>
  <c r="U107" i="1"/>
  <c r="V107" i="1" s="1"/>
  <c r="AF107" i="1" s="1"/>
  <c r="U133" i="1"/>
  <c r="V133" i="1" s="1"/>
  <c r="AF133" i="1" s="1"/>
  <c r="U116" i="1"/>
  <c r="V116" i="1" s="1"/>
  <c r="AF116" i="1" s="1"/>
  <c r="U172" i="1"/>
  <c r="V172" i="1" s="1"/>
  <c r="AF172" i="1" s="1"/>
  <c r="U66" i="1"/>
  <c r="V66" i="1" s="1"/>
  <c r="AF66" i="1" s="1"/>
  <c r="U286" i="1"/>
  <c r="V286" i="1" s="1"/>
  <c r="AF286" i="1" s="1"/>
  <c r="U163" i="1"/>
  <c r="V163" i="1" s="1"/>
  <c r="AF163" i="1" s="1"/>
  <c r="U10" i="1"/>
  <c r="V10" i="1" s="1"/>
  <c r="AF10" i="1" s="1"/>
  <c r="U128" i="1"/>
  <c r="V128" i="1" s="1"/>
  <c r="AF128" i="1" s="1"/>
  <c r="U17" i="1"/>
  <c r="V17" i="1" s="1"/>
  <c r="AF17" i="1" s="1"/>
  <c r="U44" i="1"/>
  <c r="V44" i="1" s="1"/>
  <c r="AF44" i="1" s="1"/>
  <c r="U82" i="1"/>
  <c r="V82" i="1" s="1"/>
  <c r="AF82" i="1" s="1"/>
  <c r="U263" i="1"/>
  <c r="V263" i="1" s="1"/>
  <c r="AF263" i="1" s="1"/>
  <c r="U99" i="1"/>
  <c r="V99" i="1" s="1"/>
  <c r="AF99" i="1" s="1"/>
  <c r="U324" i="1"/>
  <c r="V324" i="1" s="1"/>
  <c r="AF324" i="1" s="1"/>
  <c r="U86" i="1"/>
  <c r="V86" i="1" s="1"/>
  <c r="AF86" i="1" s="1"/>
  <c r="U28" i="1"/>
  <c r="V28" i="1" s="1"/>
  <c r="AF28" i="1" s="1"/>
  <c r="U97" i="1"/>
  <c r="V97" i="1" s="1"/>
  <c r="AF97" i="1" s="1"/>
  <c r="U41" i="1"/>
  <c r="V41" i="1" s="1"/>
  <c r="AF41" i="1" s="1"/>
  <c r="U16" i="1"/>
  <c r="V16" i="1" s="1"/>
  <c r="AF16" i="1" s="1"/>
  <c r="U46" i="1"/>
  <c r="V46" i="1" s="1"/>
  <c r="AF46" i="1" s="1"/>
  <c r="U297" i="1"/>
  <c r="V297" i="1" s="1"/>
  <c r="AF297" i="1" s="1"/>
  <c r="U119" i="1"/>
  <c r="V119" i="1" s="1"/>
  <c r="AF119" i="1" s="1"/>
  <c r="U205" i="1"/>
  <c r="V205" i="1" s="1"/>
  <c r="AF205" i="1" s="1"/>
  <c r="U45" i="1"/>
  <c r="V45" i="1" s="1"/>
  <c r="AF45" i="1" s="1"/>
  <c r="U50" i="1"/>
  <c r="V50" i="1" s="1"/>
  <c r="AF50" i="1" s="1"/>
  <c r="U146" i="1"/>
  <c r="V146" i="1" s="1"/>
  <c r="AF146" i="1" s="1"/>
  <c r="U242" i="1"/>
  <c r="V242" i="1" s="1"/>
  <c r="AF242" i="1" s="1"/>
  <c r="U245" i="1"/>
  <c r="V245" i="1" s="1"/>
  <c r="AF245" i="1" s="1"/>
  <c r="U43" i="1"/>
  <c r="V43" i="1" s="1"/>
  <c r="AF43" i="1" s="1"/>
  <c r="U320" i="1"/>
  <c r="V320" i="1" s="1"/>
  <c r="AF320" i="1" s="1"/>
  <c r="U36" i="1"/>
  <c r="V36" i="1" s="1"/>
  <c r="AF36" i="1" s="1"/>
  <c r="U201" i="1"/>
  <c r="V201" i="1" s="1"/>
  <c r="AF201" i="1" s="1"/>
  <c r="U98" i="1"/>
  <c r="V98" i="1" s="1"/>
  <c r="AF98" i="1" s="1"/>
  <c r="U88" i="1"/>
  <c r="V88" i="1" s="1"/>
  <c r="AF88" i="1" s="1"/>
  <c r="U106" i="1"/>
  <c r="V106" i="1" s="1"/>
  <c r="AF106" i="1" s="1"/>
  <c r="U42" i="1"/>
  <c r="V42" i="1" s="1"/>
  <c r="AF42" i="1" s="1"/>
  <c r="U34" i="1"/>
  <c r="V34" i="1" s="1"/>
  <c r="AF34" i="1" s="1"/>
  <c r="U75" i="1"/>
  <c r="V75" i="1" s="1"/>
  <c r="AF75" i="1" s="1"/>
  <c r="U238" i="1"/>
  <c r="V238" i="1" s="1"/>
  <c r="AF238" i="1" s="1"/>
  <c r="U39" i="1"/>
  <c r="V39" i="1" s="1"/>
  <c r="AF39" i="1" s="1"/>
  <c r="U38" i="1"/>
  <c r="V38" i="1" s="1"/>
  <c r="AF38" i="1" s="1"/>
  <c r="U241" i="1"/>
  <c r="V241" i="1" s="1"/>
  <c r="AF241" i="1" s="1"/>
  <c r="U244" i="1"/>
  <c r="V244" i="1" s="1"/>
  <c r="AF244" i="1" s="1"/>
  <c r="U49" i="1"/>
  <c r="V49" i="1" s="1"/>
  <c r="AF49" i="1" s="1"/>
  <c r="U48" i="1"/>
  <c r="V48" i="1" s="1"/>
  <c r="AF48" i="1" s="1"/>
  <c r="U23" i="1"/>
  <c r="V23" i="1" s="1"/>
  <c r="AF23" i="1" s="1"/>
  <c r="U222" i="1"/>
  <c r="V222" i="1" s="1"/>
  <c r="AF222" i="1" s="1"/>
  <c r="U197" i="1"/>
  <c r="V197" i="1" s="1"/>
  <c r="AF197" i="1" s="1"/>
  <c r="U33" i="1"/>
  <c r="V33" i="1" s="1"/>
  <c r="AF33" i="1" s="1"/>
  <c r="U288" i="1"/>
  <c r="V288" i="1" s="1"/>
  <c r="AF288" i="1" s="1"/>
  <c r="U37" i="1"/>
  <c r="V37" i="1" s="1"/>
  <c r="AF37" i="1" s="1"/>
  <c r="U26" i="1"/>
  <c r="V26" i="1" s="1"/>
  <c r="AF26" i="1" s="1"/>
  <c r="U35" i="1"/>
  <c r="V35" i="1" s="1"/>
  <c r="AF35" i="1" s="1"/>
  <c r="U14" i="1"/>
  <c r="V14" i="1" s="1"/>
  <c r="AF14" i="1" s="1"/>
  <c r="U25" i="1"/>
  <c r="V25" i="1" s="1"/>
  <c r="AF25" i="1" s="1"/>
  <c r="U310" i="1"/>
  <c r="V310" i="1" s="1"/>
  <c r="AF310" i="1" s="1"/>
  <c r="U32" i="1"/>
  <c r="V32" i="1" s="1"/>
  <c r="AF32" i="1" s="1"/>
  <c r="U30" i="1"/>
  <c r="V30" i="1" s="1"/>
  <c r="AF30" i="1" s="1"/>
  <c r="U236" i="1"/>
  <c r="V236" i="1" s="1"/>
  <c r="AF236" i="1" s="1"/>
  <c r="U13" i="1"/>
  <c r="V13" i="1" s="1"/>
  <c r="AF13" i="1" s="1"/>
  <c r="U280" i="1"/>
  <c r="V280" i="1" s="1"/>
  <c r="AF280" i="1" s="1"/>
  <c r="U275" i="1"/>
  <c r="V275" i="1" s="1"/>
  <c r="AF275" i="1" s="1"/>
  <c r="U31" i="1"/>
  <c r="V31" i="1" s="1"/>
  <c r="AF31" i="1" s="1"/>
  <c r="U235" i="1"/>
  <c r="V235" i="1" s="1"/>
  <c r="AF235" i="1" s="1"/>
  <c r="U234" i="1"/>
  <c r="V234" i="1" s="1"/>
  <c r="AF234" i="1" s="1"/>
  <c r="U29" i="1"/>
  <c r="V29" i="1" s="1"/>
  <c r="AF29" i="1" s="1"/>
  <c r="U317" i="1"/>
  <c r="V317" i="1" s="1"/>
  <c r="AF317" i="1" s="1"/>
  <c r="U311" i="1"/>
  <c r="V311" i="1" s="1"/>
  <c r="AF311" i="1" s="1"/>
  <c r="U15" i="1"/>
  <c r="V15" i="1" s="1"/>
  <c r="AF15" i="1" s="1"/>
  <c r="U11" i="1"/>
  <c r="V11" i="1" s="1"/>
  <c r="AF11" i="1" s="1"/>
  <c r="U312" i="1"/>
  <c r="V312" i="1" s="1"/>
  <c r="AF312" i="1" s="1"/>
  <c r="U274" i="1"/>
  <c r="V274" i="1" s="1"/>
  <c r="AF274" i="1" s="1"/>
  <c r="U62" i="1"/>
  <c r="V62" i="1" s="1"/>
  <c r="AF62" i="1" s="1"/>
  <c r="U318" i="1"/>
  <c r="V318" i="1" s="1"/>
  <c r="AF318" i="1" s="1"/>
  <c r="U278" i="1"/>
  <c r="V278" i="1" s="1"/>
  <c r="AF278" i="1" s="1"/>
  <c r="U250" i="1"/>
  <c r="V250" i="1" s="1"/>
  <c r="AF250" i="1" s="1"/>
  <c r="U20" i="1"/>
  <c r="V20" i="1" s="1"/>
  <c r="AF20" i="1" s="1"/>
  <c r="U212" i="1"/>
  <c r="V212" i="1" s="1"/>
  <c r="AF212" i="1" s="1"/>
  <c r="U12" i="1"/>
  <c r="V12" i="1" s="1"/>
  <c r="AF12" i="1" s="1"/>
  <c r="U8" i="1"/>
  <c r="V8" i="1" s="1"/>
  <c r="AF8" i="1" s="1"/>
  <c r="U6" i="1"/>
  <c r="V6" i="1" s="1"/>
  <c r="AF6" i="1" s="1"/>
  <c r="U7" i="1"/>
  <c r="V7" i="1" s="1"/>
  <c r="AF7" i="1" s="1"/>
  <c r="AC270" i="1" l="1"/>
  <c r="X270" i="1"/>
  <c r="Z270" i="1"/>
  <c r="AB270" i="1"/>
  <c r="AD270" i="1"/>
  <c r="W270" i="1"/>
  <c r="Y270" i="1"/>
  <c r="AA270" i="1"/>
  <c r="AC233" i="1"/>
  <c r="AA233" i="1"/>
  <c r="Y233" i="1"/>
  <c r="W233" i="1"/>
  <c r="AC181" i="1"/>
  <c r="AA181" i="1"/>
  <c r="Y181" i="1"/>
  <c r="W181" i="1"/>
  <c r="AC192" i="1"/>
  <c r="AA192" i="1"/>
  <c r="Y192" i="1"/>
  <c r="W192" i="1"/>
  <c r="AC24" i="1"/>
  <c r="AA24" i="1"/>
  <c r="Y24" i="1"/>
  <c r="W24" i="1"/>
  <c r="AC214" i="1"/>
  <c r="AA214" i="1"/>
  <c r="Y214" i="1"/>
  <c r="W214" i="1"/>
  <c r="AC18" i="1"/>
  <c r="AA18" i="1"/>
  <c r="Y18" i="1"/>
  <c r="W18" i="1"/>
  <c r="AD192" i="1"/>
  <c r="AB192" i="1"/>
  <c r="Z192" i="1"/>
  <c r="X192" i="1"/>
  <c r="AD24" i="1"/>
  <c r="AB24" i="1"/>
  <c r="Z24" i="1"/>
  <c r="X24" i="1"/>
  <c r="AD214" i="1"/>
  <c r="AB214" i="1"/>
  <c r="Z214" i="1"/>
  <c r="X214" i="1"/>
  <c r="Z18" i="1"/>
  <c r="X18" i="1"/>
  <c r="AD233" i="1"/>
  <c r="AB233" i="1"/>
  <c r="Z233" i="1"/>
  <c r="X233" i="1"/>
  <c r="AD181" i="1"/>
  <c r="AB181" i="1"/>
  <c r="Z181" i="1"/>
  <c r="X181" i="1"/>
  <c r="AD18" i="1"/>
  <c r="AB18" i="1"/>
  <c r="Y130" i="1"/>
  <c r="AC130" i="1"/>
  <c r="Z130" i="1"/>
  <c r="W130" i="1"/>
  <c r="AA130" i="1"/>
  <c r="X130" i="1"/>
  <c r="AB130" i="1"/>
  <c r="AD130" i="1"/>
  <c r="AB272" i="1"/>
  <c r="X272" i="1"/>
  <c r="W271" i="1"/>
  <c r="AD272" i="1"/>
  <c r="Z272" i="1"/>
  <c r="AC271" i="1"/>
  <c r="Y271" i="1"/>
  <c r="AC272" i="1"/>
  <c r="Y272" i="1"/>
  <c r="AB271" i="1"/>
  <c r="X271" i="1"/>
  <c r="AA271" i="1"/>
  <c r="AA272" i="1"/>
  <c r="W272" i="1"/>
  <c r="AD271" i="1"/>
  <c r="Z271" i="1"/>
  <c r="AD225" i="1"/>
  <c r="Z225" i="1"/>
  <c r="AB225" i="1"/>
  <c r="X225" i="1"/>
  <c r="AA225" i="1"/>
  <c r="W225" i="1"/>
  <c r="AC225" i="1"/>
  <c r="Y225" i="1"/>
  <c r="AB203" i="1"/>
  <c r="X203" i="1"/>
  <c r="AD202" i="1"/>
  <c r="Z202" i="1"/>
  <c r="AB199" i="1"/>
  <c r="X199" i="1"/>
  <c r="AD196" i="1"/>
  <c r="Z196" i="1"/>
  <c r="AB228" i="1"/>
  <c r="X228" i="1"/>
  <c r="AD224" i="1"/>
  <c r="Z224" i="1"/>
  <c r="AB220" i="1"/>
  <c r="X220" i="1"/>
  <c r="AC229" i="1"/>
  <c r="Y229" i="1"/>
  <c r="AA226" i="1"/>
  <c r="W226" i="1"/>
  <c r="AC221" i="1"/>
  <c r="Y221" i="1"/>
  <c r="AA217" i="1"/>
  <c r="W217" i="1"/>
  <c r="Z203" i="1"/>
  <c r="AB224" i="1"/>
  <c r="Z220" i="1"/>
  <c r="AA229" i="1"/>
  <c r="Y226" i="1"/>
  <c r="W221" i="1"/>
  <c r="Y217" i="1"/>
  <c r="AA203" i="1"/>
  <c r="W203" i="1"/>
  <c r="AC202" i="1"/>
  <c r="Y202" i="1"/>
  <c r="AA199" i="1"/>
  <c r="W199" i="1"/>
  <c r="AC196" i="1"/>
  <c r="Y196" i="1"/>
  <c r="AA228" i="1"/>
  <c r="W228" i="1"/>
  <c r="AC224" i="1"/>
  <c r="Y224" i="1"/>
  <c r="AA220" i="1"/>
  <c r="W220" i="1"/>
  <c r="AB229" i="1"/>
  <c r="X229" i="1"/>
  <c r="AD226" i="1"/>
  <c r="Z226" i="1"/>
  <c r="AB221" i="1"/>
  <c r="X221" i="1"/>
  <c r="AD217" i="1"/>
  <c r="Z217" i="1"/>
  <c r="AD203" i="1"/>
  <c r="AB202" i="1"/>
  <c r="X202" i="1"/>
  <c r="Z199" i="1"/>
  <c r="AB196" i="1"/>
  <c r="X196" i="1"/>
  <c r="AD228" i="1"/>
  <c r="Z228" i="1"/>
  <c r="AD220" i="1"/>
  <c r="AC226" i="1"/>
  <c r="AA221" i="1"/>
  <c r="AC203" i="1"/>
  <c r="Y203" i="1"/>
  <c r="AA202" i="1"/>
  <c r="W202" i="1"/>
  <c r="AC199" i="1"/>
  <c r="Y199" i="1"/>
  <c r="AA196" i="1"/>
  <c r="W196" i="1"/>
  <c r="AC228" i="1"/>
  <c r="Y228" i="1"/>
  <c r="AA224" i="1"/>
  <c r="W224" i="1"/>
  <c r="AC220" i="1"/>
  <c r="Y220" i="1"/>
  <c r="AD229" i="1"/>
  <c r="Z229" i="1"/>
  <c r="AB226" i="1"/>
  <c r="X226" i="1"/>
  <c r="AD221" i="1"/>
  <c r="Z221" i="1"/>
  <c r="AB217" i="1"/>
  <c r="X217" i="1"/>
  <c r="AD199" i="1"/>
  <c r="X224" i="1"/>
  <c r="W229" i="1"/>
  <c r="AC217" i="1"/>
  <c r="L2080" i="7"/>
  <c r="S2080" i="7" s="1"/>
  <c r="I2082" i="7"/>
  <c r="AC305" i="1"/>
  <c r="AA305" i="1"/>
  <c r="Y305" i="1"/>
  <c r="W305" i="1"/>
  <c r="AC299" i="1"/>
  <c r="AA299" i="1"/>
  <c r="Y299" i="1"/>
  <c r="W299" i="1"/>
  <c r="AC293" i="1"/>
  <c r="AA293" i="1"/>
  <c r="Y293" i="1"/>
  <c r="W293" i="1"/>
  <c r="AD283" i="1"/>
  <c r="AB283" i="1"/>
  <c r="Z283" i="1"/>
  <c r="X283" i="1"/>
  <c r="AD305" i="1"/>
  <c r="AB305" i="1"/>
  <c r="Z305" i="1"/>
  <c r="X305" i="1"/>
  <c r="AD299" i="1"/>
  <c r="AB299" i="1"/>
  <c r="Z299" i="1"/>
  <c r="X299" i="1"/>
  <c r="AD293" i="1"/>
  <c r="AB293" i="1"/>
  <c r="Z293" i="1"/>
  <c r="X293" i="1"/>
  <c r="AC283" i="1"/>
  <c r="AA283" i="1"/>
  <c r="Y283" i="1"/>
  <c r="W283" i="1"/>
  <c r="AD227" i="1"/>
  <c r="AB227" i="1"/>
  <c r="Z227" i="1"/>
  <c r="X227" i="1"/>
  <c r="AC223" i="1"/>
  <c r="AA223" i="1"/>
  <c r="Y223" i="1"/>
  <c r="W223" i="1"/>
  <c r="AC219" i="1"/>
  <c r="AA219" i="1"/>
  <c r="Y219" i="1"/>
  <c r="W219" i="1"/>
  <c r="AC216" i="1"/>
  <c r="AA216" i="1"/>
  <c r="Y216" i="1"/>
  <c r="W216" i="1"/>
  <c r="AC300" i="1"/>
  <c r="AA300" i="1"/>
  <c r="Y300" i="1"/>
  <c r="W300" i="1"/>
  <c r="AC294" i="1"/>
  <c r="AA294" i="1"/>
  <c r="Y294" i="1"/>
  <c r="W294" i="1"/>
  <c r="AC285" i="1"/>
  <c r="AA285" i="1"/>
  <c r="Y285" i="1"/>
  <c r="W285" i="1"/>
  <c r="AC282" i="1"/>
  <c r="AA282" i="1"/>
  <c r="Y282" i="1"/>
  <c r="W282" i="1"/>
  <c r="AD219" i="1"/>
  <c r="AB219" i="1"/>
  <c r="Z219" i="1"/>
  <c r="X219" i="1"/>
  <c r="AD300" i="1"/>
  <c r="AB300" i="1"/>
  <c r="X300" i="1"/>
  <c r="AD294" i="1"/>
  <c r="AB294" i="1"/>
  <c r="Z294" i="1"/>
  <c r="X294" i="1"/>
  <c r="X285" i="1"/>
  <c r="AD282" i="1"/>
  <c r="AB282" i="1"/>
  <c r="Z282" i="1"/>
  <c r="X282" i="1"/>
  <c r="AC227" i="1"/>
  <c r="AA227" i="1"/>
  <c r="Y227" i="1"/>
  <c r="W227" i="1"/>
  <c r="AD223" i="1"/>
  <c r="AB223" i="1"/>
  <c r="Z223" i="1"/>
  <c r="X223" i="1"/>
  <c r="AD216" i="1"/>
  <c r="AB216" i="1"/>
  <c r="Z216" i="1"/>
  <c r="X216" i="1"/>
  <c r="Z300" i="1"/>
  <c r="AD285" i="1"/>
  <c r="AB285" i="1"/>
  <c r="Z285" i="1"/>
  <c r="AD322" i="1"/>
  <c r="AB322" i="1"/>
  <c r="Z322" i="1"/>
  <c r="X322" i="1"/>
  <c r="AC322" i="1"/>
  <c r="AA322" i="1"/>
  <c r="Y322" i="1"/>
  <c r="W322" i="1"/>
  <c r="AD21" i="1"/>
  <c r="AB21" i="1"/>
  <c r="Z21" i="1"/>
  <c r="X21" i="1"/>
  <c r="AC21" i="1"/>
  <c r="AA21" i="1"/>
  <c r="Y21" i="1"/>
  <c r="W21" i="1"/>
  <c r="L1364" i="7"/>
  <c r="S1364" i="7" s="1"/>
  <c r="L423" i="7"/>
  <c r="S423" i="7" s="1"/>
  <c r="H758" i="7"/>
  <c r="H1070" i="7" s="1"/>
  <c r="H1798" i="7" s="1"/>
  <c r="H1799" i="7" s="1"/>
  <c r="K1365" i="7"/>
  <c r="L1365" i="7" s="1"/>
  <c r="S1365" i="7" s="1"/>
  <c r="I1929" i="7"/>
  <c r="L466" i="7"/>
  <c r="S466" i="7" s="1"/>
  <c r="L1653" i="7"/>
  <c r="S1653" i="7" s="1"/>
  <c r="L1138" i="7"/>
  <c r="S1138" i="7" s="1"/>
  <c r="K1929" i="7"/>
  <c r="K1949" i="7" s="1"/>
  <c r="AA213" i="1"/>
  <c r="W213" i="1"/>
  <c r="Z213" i="1"/>
  <c r="AD213" i="1"/>
  <c r="AB213" i="1"/>
  <c r="X213" i="1"/>
  <c r="AC213" i="1"/>
  <c r="Y213" i="1"/>
  <c r="Z59" i="1"/>
  <c r="AB218" i="1"/>
  <c r="W218" i="1"/>
  <c r="AD218" i="1"/>
  <c r="Z218" i="1"/>
  <c r="AC218" i="1"/>
  <c r="Y218" i="1"/>
  <c r="X218" i="1"/>
  <c r="AA218" i="1"/>
  <c r="AD307" i="1"/>
  <c r="AB307" i="1"/>
  <c r="Z307" i="1"/>
  <c r="X307" i="1"/>
  <c r="AA307" i="1"/>
  <c r="W307" i="1"/>
  <c r="AC307" i="1"/>
  <c r="Y307" i="1"/>
  <c r="AD256" i="1"/>
  <c r="AB256" i="1"/>
  <c r="Z256" i="1"/>
  <c r="X256" i="1"/>
  <c r="AC256" i="1"/>
  <c r="AA256" i="1"/>
  <c r="Y256" i="1"/>
  <c r="W256" i="1"/>
  <c r="Z102" i="1"/>
  <c r="AD102" i="1"/>
  <c r="W102" i="1"/>
  <c r="AA102" i="1"/>
  <c r="X102" i="1"/>
  <c r="AB102" i="1"/>
  <c r="Y102" i="1"/>
  <c r="AC102" i="1"/>
  <c r="AB52" i="1"/>
  <c r="X52" i="1"/>
  <c r="AA52" i="1"/>
  <c r="W52" i="1"/>
  <c r="AD52" i="1"/>
  <c r="Z52" i="1"/>
  <c r="AC52" i="1"/>
  <c r="Y52" i="1"/>
  <c r="Z281" i="1"/>
  <c r="AC281" i="1"/>
  <c r="Y281" i="1"/>
  <c r="AB281" i="1"/>
  <c r="X281" i="1"/>
  <c r="AA281" i="1"/>
  <c r="W281" i="1"/>
  <c r="AD281" i="1"/>
  <c r="AD67" i="1"/>
  <c r="AB67" i="1"/>
  <c r="Z67" i="1"/>
  <c r="X67" i="1"/>
  <c r="AC67" i="1"/>
  <c r="AA67" i="1"/>
  <c r="Y67" i="1"/>
  <c r="W67" i="1"/>
  <c r="AD257" i="1"/>
  <c r="AB257" i="1"/>
  <c r="Z257" i="1"/>
  <c r="X257" i="1"/>
  <c r="AC257" i="1"/>
  <c r="AA257" i="1"/>
  <c r="Y257" i="1"/>
  <c r="W257" i="1"/>
  <c r="AC77" i="1"/>
  <c r="AA77" i="1"/>
  <c r="Y77" i="1"/>
  <c r="W77" i="1"/>
  <c r="AC96" i="1"/>
  <c r="AA96" i="1"/>
  <c r="Y96" i="1"/>
  <c r="W96" i="1"/>
  <c r="AD96" i="1"/>
  <c r="AB96" i="1"/>
  <c r="Z96" i="1"/>
  <c r="X96" i="1"/>
  <c r="AD77" i="1"/>
  <c r="AB77" i="1"/>
  <c r="Z77" i="1"/>
  <c r="X77" i="1"/>
  <c r="AB306" i="1"/>
  <c r="X306" i="1"/>
  <c r="AD292" i="1"/>
  <c r="Z292" i="1"/>
  <c r="AB287" i="1"/>
  <c r="X287" i="1"/>
  <c r="AD295" i="1"/>
  <c r="Z295" i="1"/>
  <c r="AB277" i="1"/>
  <c r="X277" i="1"/>
  <c r="AD304" i="1"/>
  <c r="Z304" i="1"/>
  <c r="AB279" i="1"/>
  <c r="X279" i="1"/>
  <c r="AB200" i="1"/>
  <c r="X200" i="1"/>
  <c r="AD215" i="1"/>
  <c r="Z215" i="1"/>
  <c r="W292" i="1"/>
  <c r="W295" i="1"/>
  <c r="Y277" i="1"/>
  <c r="AA304" i="1"/>
  <c r="AC279" i="1"/>
  <c r="AC200" i="1"/>
  <c r="W215" i="1"/>
  <c r="AA306" i="1"/>
  <c r="W306" i="1"/>
  <c r="AC292" i="1"/>
  <c r="Y292" i="1"/>
  <c r="AA287" i="1"/>
  <c r="W287" i="1"/>
  <c r="AC295" i="1"/>
  <c r="Y295" i="1"/>
  <c r="AA277" i="1"/>
  <c r="W277" i="1"/>
  <c r="AC304" i="1"/>
  <c r="Y304" i="1"/>
  <c r="AA279" i="1"/>
  <c r="W279" i="1"/>
  <c r="AA200" i="1"/>
  <c r="W200" i="1"/>
  <c r="AC215" i="1"/>
  <c r="Y215" i="1"/>
  <c r="AD306" i="1"/>
  <c r="Z306" i="1"/>
  <c r="AB292" i="1"/>
  <c r="X292" i="1"/>
  <c r="AD287" i="1"/>
  <c r="Z287" i="1"/>
  <c r="AB295" i="1"/>
  <c r="X295" i="1"/>
  <c r="AD277" i="1"/>
  <c r="Z277" i="1"/>
  <c r="AB304" i="1"/>
  <c r="X304" i="1"/>
  <c r="AD279" i="1"/>
  <c r="Z279" i="1"/>
  <c r="AD200" i="1"/>
  <c r="Z200" i="1"/>
  <c r="AB215" i="1"/>
  <c r="X215" i="1"/>
  <c r="AC306" i="1"/>
  <c r="Y306" i="1"/>
  <c r="AA292" i="1"/>
  <c r="AC287" i="1"/>
  <c r="Y287" i="1"/>
  <c r="AA295" i="1"/>
  <c r="AC277" i="1"/>
  <c r="W304" i="1"/>
  <c r="Y279" i="1"/>
  <c r="Y200" i="1"/>
  <c r="AA215" i="1"/>
  <c r="AA323" i="1"/>
  <c r="W323" i="1"/>
  <c r="AC319" i="1"/>
  <c r="Y319" i="1"/>
  <c r="AB319" i="1"/>
  <c r="X319" i="1"/>
  <c r="Y323" i="1"/>
  <c r="W319" i="1"/>
  <c r="X323" i="1"/>
  <c r="Z319" i="1"/>
  <c r="AD323" i="1"/>
  <c r="Z323" i="1"/>
  <c r="AC323" i="1"/>
  <c r="AA319" i="1"/>
  <c r="AB323" i="1"/>
  <c r="AD319" i="1"/>
  <c r="AC313" i="1"/>
  <c r="Y313" i="1"/>
  <c r="AA313" i="1"/>
  <c r="W313" i="1"/>
  <c r="AB313" i="1"/>
  <c r="Z313" i="1"/>
  <c r="X313" i="1"/>
  <c r="AD313" i="1"/>
  <c r="AC83" i="1"/>
  <c r="Y83" i="1"/>
  <c r="AA40" i="1"/>
  <c r="W40" i="1"/>
  <c r="AC120" i="1"/>
  <c r="Y120" i="1"/>
  <c r="AA59" i="1"/>
  <c r="W59" i="1"/>
  <c r="AC22" i="1"/>
  <c r="Y22" i="1"/>
  <c r="AA78" i="1"/>
  <c r="W78" i="1"/>
  <c r="AC19" i="1"/>
  <c r="Y19" i="1"/>
  <c r="AA132" i="1"/>
  <c r="W132" i="1"/>
  <c r="AC114" i="1"/>
  <c r="Y114" i="1"/>
  <c r="AB83" i="1"/>
  <c r="X83" i="1"/>
  <c r="AD40" i="1"/>
  <c r="Z40" i="1"/>
  <c r="AB120" i="1"/>
  <c r="X120" i="1"/>
  <c r="AD59" i="1"/>
  <c r="AB22" i="1"/>
  <c r="X22" i="1"/>
  <c r="AD78" i="1"/>
  <c r="Z78" i="1"/>
  <c r="AB19" i="1"/>
  <c r="X19" i="1"/>
  <c r="AD132" i="1"/>
  <c r="Z132" i="1"/>
  <c r="AB114" i="1"/>
  <c r="X114" i="1"/>
  <c r="AA83" i="1"/>
  <c r="W83" i="1"/>
  <c r="AC40" i="1"/>
  <c r="Y40" i="1"/>
  <c r="AA120" i="1"/>
  <c r="W120" i="1"/>
  <c r="AC59" i="1"/>
  <c r="Y59" i="1"/>
  <c r="AA22" i="1"/>
  <c r="W22" i="1"/>
  <c r="AC78" i="1"/>
  <c r="Y78" i="1"/>
  <c r="AA19" i="1"/>
  <c r="W19" i="1"/>
  <c r="AC132" i="1"/>
  <c r="Y132" i="1"/>
  <c r="AA114" i="1"/>
  <c r="W114" i="1"/>
  <c r="AD83" i="1"/>
  <c r="Z83" i="1"/>
  <c r="AB40" i="1"/>
  <c r="X40" i="1"/>
  <c r="AD120" i="1"/>
  <c r="Z120" i="1"/>
  <c r="AB59" i="1"/>
  <c r="X59" i="1"/>
  <c r="AD22" i="1"/>
  <c r="Z22" i="1"/>
  <c r="AB78" i="1"/>
  <c r="X78" i="1"/>
  <c r="AD19" i="1"/>
  <c r="Z19" i="1"/>
  <c r="AB132" i="1"/>
  <c r="X132" i="1"/>
  <c r="AD114" i="1"/>
  <c r="Z114" i="1"/>
  <c r="AB315" i="1"/>
  <c r="X315" i="1"/>
  <c r="AD284" i="1"/>
  <c r="Z284" i="1"/>
  <c r="X284" i="1"/>
  <c r="Y315" i="1"/>
  <c r="AA284" i="1"/>
  <c r="AA315" i="1"/>
  <c r="W315" i="1"/>
  <c r="AC284" i="1"/>
  <c r="Y284" i="1"/>
  <c r="AD315" i="1"/>
  <c r="Z315" i="1"/>
  <c r="AB284" i="1"/>
  <c r="AC315" i="1"/>
  <c r="W284" i="1"/>
  <c r="AA65" i="1"/>
  <c r="W65" i="1"/>
  <c r="AC87" i="1"/>
  <c r="Y87" i="1"/>
  <c r="AA58" i="1"/>
  <c r="W58" i="1"/>
  <c r="AA92" i="1"/>
  <c r="W92" i="1"/>
  <c r="AC144" i="1"/>
  <c r="Y144" i="1"/>
  <c r="AC27" i="1"/>
  <c r="Y27" i="1"/>
  <c r="AA54" i="1"/>
  <c r="W54" i="1"/>
  <c r="AA127" i="1"/>
  <c r="W127" i="1"/>
  <c r="AC72" i="1"/>
  <c r="Y72" i="1"/>
  <c r="AA74" i="1"/>
  <c r="W74" i="1"/>
  <c r="AD65" i="1"/>
  <c r="Z65" i="1"/>
  <c r="AB87" i="1"/>
  <c r="X87" i="1"/>
  <c r="AD58" i="1"/>
  <c r="Z58" i="1"/>
  <c r="AD92" i="1"/>
  <c r="Z92" i="1"/>
  <c r="AB144" i="1"/>
  <c r="X144" i="1"/>
  <c r="AB27" i="1"/>
  <c r="X27" i="1"/>
  <c r="AD54" i="1"/>
  <c r="Z54" i="1"/>
  <c r="AD127" i="1"/>
  <c r="Z127" i="1"/>
  <c r="AB72" i="1"/>
  <c r="X72" i="1"/>
  <c r="AD74" i="1"/>
  <c r="Z74" i="1"/>
  <c r="AC65" i="1"/>
  <c r="Y65" i="1"/>
  <c r="AA87" i="1"/>
  <c r="W87" i="1"/>
  <c r="AC58" i="1"/>
  <c r="Y58" i="1"/>
  <c r="AC92" i="1"/>
  <c r="Y92" i="1"/>
  <c r="AA144" i="1"/>
  <c r="W144" i="1"/>
  <c r="AA27" i="1"/>
  <c r="W27" i="1"/>
  <c r="AC54" i="1"/>
  <c r="Y54" i="1"/>
  <c r="AC127" i="1"/>
  <c r="Y127" i="1"/>
  <c r="AA72" i="1"/>
  <c r="W72" i="1"/>
  <c r="AC74" i="1"/>
  <c r="Y74" i="1"/>
  <c r="AB65" i="1"/>
  <c r="X65" i="1"/>
  <c r="AD87" i="1"/>
  <c r="Z87" i="1"/>
  <c r="AB58" i="1"/>
  <c r="X58" i="1"/>
  <c r="AB92" i="1"/>
  <c r="X92" i="1"/>
  <c r="AD144" i="1"/>
  <c r="Z144" i="1"/>
  <c r="AD27" i="1"/>
  <c r="Z27" i="1"/>
  <c r="AB54" i="1"/>
  <c r="X54" i="1"/>
  <c r="AB127" i="1"/>
  <c r="X127" i="1"/>
  <c r="AD72" i="1"/>
  <c r="Z72" i="1"/>
  <c r="AB74" i="1"/>
  <c r="X74" i="1"/>
  <c r="AG8" i="1"/>
  <c r="AG278" i="1"/>
  <c r="AG62" i="1"/>
  <c r="AC69" i="1"/>
  <c r="Y69" i="1"/>
  <c r="AB69" i="1"/>
  <c r="X69" i="1"/>
  <c r="W69" i="1"/>
  <c r="AD69" i="1"/>
  <c r="Z69" i="1"/>
  <c r="AA69" i="1"/>
  <c r="AB73" i="1"/>
  <c r="X73" i="1"/>
  <c r="AA73" i="1"/>
  <c r="W73" i="1"/>
  <c r="AD73" i="1"/>
  <c r="Z73" i="1"/>
  <c r="AC73" i="1"/>
  <c r="Y73" i="1"/>
  <c r="AA9" i="1"/>
  <c r="W9" i="1"/>
  <c r="AD47" i="1"/>
  <c r="Z47" i="1"/>
  <c r="AD9" i="1"/>
  <c r="Z9" i="1"/>
  <c r="AC47" i="1"/>
  <c r="Y47" i="1"/>
  <c r="AC9" i="1"/>
  <c r="Y9" i="1"/>
  <c r="AB47" i="1"/>
  <c r="X47" i="1"/>
  <c r="AB9" i="1"/>
  <c r="X9" i="1"/>
  <c r="AA47" i="1"/>
  <c r="W47" i="1"/>
  <c r="AG317" i="1"/>
  <c r="AG31" i="1"/>
  <c r="AG280" i="1"/>
  <c r="AG310" i="1"/>
  <c r="AG35" i="1"/>
  <c r="AG222" i="1"/>
  <c r="AG238" i="1"/>
  <c r="AG106" i="1"/>
  <c r="AG36" i="1"/>
  <c r="AG320" i="1"/>
  <c r="AG242" i="1"/>
  <c r="AG45" i="1"/>
  <c r="AG41" i="1"/>
  <c r="AG324" i="1"/>
  <c r="AG128" i="1"/>
  <c r="AG172" i="1"/>
  <c r="AG107" i="1"/>
  <c r="AG231" i="1"/>
  <c r="AG110" i="1"/>
  <c r="AG149" i="1"/>
  <c r="AG76" i="1"/>
  <c r="AG115" i="1"/>
  <c r="AG51" i="1"/>
  <c r="AG160" i="1"/>
  <c r="AG145" i="1"/>
  <c r="AG204" i="1"/>
  <c r="AG94" i="1"/>
  <c r="AG103" i="1"/>
  <c r="AG309" i="1"/>
  <c r="AG112" i="1"/>
  <c r="AG136" i="1"/>
  <c r="AG246" i="1"/>
  <c r="AG177" i="1"/>
  <c r="AG123" i="1"/>
  <c r="AG105" i="1"/>
  <c r="AG251" i="1"/>
  <c r="AG137" i="1"/>
  <c r="AG140" i="1"/>
  <c r="AG166" i="1"/>
  <c r="AG60" i="1"/>
  <c r="AG95" i="1"/>
  <c r="AG139" i="1"/>
  <c r="AG89" i="1"/>
  <c r="AG308" i="1"/>
  <c r="AG147" i="1"/>
  <c r="AG104" i="1"/>
  <c r="AG243" i="1"/>
  <c r="AG183" i="1"/>
  <c r="AG155" i="1"/>
  <c r="AG156" i="1"/>
  <c r="AG157" i="1"/>
  <c r="AG209" i="1"/>
  <c r="AG182" i="1"/>
  <c r="AG173" i="1"/>
  <c r="AG193" i="1"/>
  <c r="AG194" i="1"/>
  <c r="AG7" i="1"/>
  <c r="AG274" i="1"/>
  <c r="AG236" i="1"/>
  <c r="AG25" i="1"/>
  <c r="AG26" i="1"/>
  <c r="AG33" i="1"/>
  <c r="AG23" i="1"/>
  <c r="AG244" i="1"/>
  <c r="AG241" i="1"/>
  <c r="AG75" i="1"/>
  <c r="AG98" i="1"/>
  <c r="AG43" i="1"/>
  <c r="AG146" i="1"/>
  <c r="AG205" i="1"/>
  <c r="AG297" i="1"/>
  <c r="AG97" i="1"/>
  <c r="AG263" i="1"/>
  <c r="AG44" i="1"/>
  <c r="AG10" i="1"/>
  <c r="AG286" i="1"/>
  <c r="AG116" i="1"/>
  <c r="AG165" i="1"/>
  <c r="AG108" i="1"/>
  <c r="AG276" i="1"/>
  <c r="AG290" i="1"/>
  <c r="AG93" i="1"/>
  <c r="AG55" i="1"/>
  <c r="AG207" i="1"/>
  <c r="AG68" i="1"/>
  <c r="AG164" i="1"/>
  <c r="AG152" i="1"/>
  <c r="AG53" i="1"/>
  <c r="AG101" i="1"/>
  <c r="AG100" i="1"/>
  <c r="AG131" i="1"/>
  <c r="AG61" i="1"/>
  <c r="AG121" i="1"/>
  <c r="AG303" i="1"/>
  <c r="AG151" i="1"/>
  <c r="AG261" i="1"/>
  <c r="AG298" i="1"/>
  <c r="AG63" i="1"/>
  <c r="AG258" i="1"/>
  <c r="AG170" i="1"/>
  <c r="AG84" i="1"/>
  <c r="AG174" i="1"/>
  <c r="AG70" i="1"/>
  <c r="AG264" i="1"/>
  <c r="AG187" i="1"/>
  <c r="AG190" i="1"/>
  <c r="AG124" i="1"/>
  <c r="AG158" i="1"/>
  <c r="AG176" i="1"/>
  <c r="AG212" i="1"/>
  <c r="AG250" i="1"/>
  <c r="AG6" i="1"/>
  <c r="AG12" i="1"/>
  <c r="AG20" i="1"/>
  <c r="AG318" i="1"/>
  <c r="AG312" i="1"/>
  <c r="AG11" i="1"/>
  <c r="AG311" i="1"/>
  <c r="AG15" i="1"/>
  <c r="AG235" i="1"/>
  <c r="AG13" i="1"/>
  <c r="AG30" i="1"/>
  <c r="AG14" i="1"/>
  <c r="AG288" i="1"/>
  <c r="AG49" i="1"/>
  <c r="AG39" i="1"/>
  <c r="AG42" i="1"/>
  <c r="AG245" i="1"/>
  <c r="AG50" i="1"/>
  <c r="AG119" i="1"/>
  <c r="AG16" i="1"/>
  <c r="AG86" i="1"/>
  <c r="AG66" i="1"/>
  <c r="AG133" i="1"/>
  <c r="AG230" i="1"/>
  <c r="AG117" i="1"/>
  <c r="AG64" i="1"/>
  <c r="AG138" i="1"/>
  <c r="AG85" i="1"/>
  <c r="AG208" i="1"/>
  <c r="AG90" i="1"/>
  <c r="AG291" i="1"/>
  <c r="AG80" i="1"/>
  <c r="AG247" i="1"/>
  <c r="AG148" i="1"/>
  <c r="AG150" i="1"/>
  <c r="AG143" i="1"/>
  <c r="AG113" i="1"/>
  <c r="AG259" i="1"/>
  <c r="AG252" i="1"/>
  <c r="AG56" i="1"/>
  <c r="AG109" i="1"/>
  <c r="AG125" i="1"/>
  <c r="AG237" i="1"/>
  <c r="AG141" i="1"/>
  <c r="AG189" i="1"/>
  <c r="AG178" i="1"/>
  <c r="AG57" i="1"/>
  <c r="AG253" i="1"/>
  <c r="AG168" i="1"/>
  <c r="AG126" i="1"/>
  <c r="AG314" i="1"/>
  <c r="AG262" i="1"/>
  <c r="AG81" i="1"/>
  <c r="AG240" i="1"/>
  <c r="AG71" i="1"/>
  <c r="AG289" i="1"/>
  <c r="AG210" i="1"/>
  <c r="AG180" i="1"/>
  <c r="AG154" i="1"/>
  <c r="AG188" i="1"/>
  <c r="AG186" i="1"/>
  <c r="AG91" i="1"/>
  <c r="AG185" i="1"/>
  <c r="AG29" i="1"/>
  <c r="AG234" i="1"/>
  <c r="AG275" i="1"/>
  <c r="AG32" i="1"/>
  <c r="AG37" i="1"/>
  <c r="AG197" i="1"/>
  <c r="AG48" i="1"/>
  <c r="AG38" i="1"/>
  <c r="AG34" i="1"/>
  <c r="AG88" i="1"/>
  <c r="AG201" i="1"/>
  <c r="AG46" i="1"/>
  <c r="AG28" i="1"/>
  <c r="AG99" i="1"/>
  <c r="AG82" i="1"/>
  <c r="AG17" i="1"/>
  <c r="AG163" i="1"/>
  <c r="AG118" i="1"/>
  <c r="AG239" i="1"/>
  <c r="AG296" i="1"/>
  <c r="AG79" i="1"/>
  <c r="AG129" i="1"/>
  <c r="AG206" i="1"/>
  <c r="AG134" i="1"/>
  <c r="AG198" i="1"/>
  <c r="AG265" i="1"/>
  <c r="AG111" i="1"/>
  <c r="AG249" i="1"/>
  <c r="AG248" i="1"/>
  <c r="AG255" i="1"/>
  <c r="AG135" i="1"/>
  <c r="AG122" i="1"/>
  <c r="AG142" i="1"/>
  <c r="AG321" i="1"/>
  <c r="AG302" i="1"/>
  <c r="AG254" i="1"/>
  <c r="AG161" i="1"/>
  <c r="AG260" i="1"/>
  <c r="AG159" i="1"/>
  <c r="AG268" i="1"/>
  <c r="AG153" i="1"/>
  <c r="AG266" i="1"/>
  <c r="AG267" i="1"/>
  <c r="AG175" i="1"/>
  <c r="AG169" i="1"/>
  <c r="AG171" i="1"/>
  <c r="AG167" i="1"/>
  <c r="AG162" i="1"/>
  <c r="AG179" i="1"/>
  <c r="AG301" i="1"/>
  <c r="AG191" i="1"/>
  <c r="AG184" i="1"/>
  <c r="AV3" i="1"/>
  <c r="AC185" i="1"/>
  <c r="AA185" i="1"/>
  <c r="Y185" i="1"/>
  <c r="W185" i="1"/>
  <c r="AD194" i="1"/>
  <c r="AB194" i="1"/>
  <c r="Z194" i="1"/>
  <c r="X194" i="1"/>
  <c r="AC91" i="1"/>
  <c r="AA91" i="1"/>
  <c r="Y91" i="1"/>
  <c r="W91" i="1"/>
  <c r="AD184" i="1"/>
  <c r="AB184" i="1"/>
  <c r="Z184" i="1"/>
  <c r="X184" i="1"/>
  <c r="AC176" i="1"/>
  <c r="AA176" i="1"/>
  <c r="Y176" i="1"/>
  <c r="W176" i="1"/>
  <c r="AC186" i="1"/>
  <c r="AA186" i="1"/>
  <c r="Y186" i="1"/>
  <c r="W186" i="1"/>
  <c r="AC158" i="1"/>
  <c r="AA158" i="1"/>
  <c r="Y158" i="1"/>
  <c r="W158" i="1"/>
  <c r="AD193" i="1"/>
  <c r="AB193" i="1"/>
  <c r="Z193" i="1"/>
  <c r="X193" i="1"/>
  <c r="AC188" i="1"/>
  <c r="AA188" i="1"/>
  <c r="Y188" i="1"/>
  <c r="W188" i="1"/>
  <c r="AD191" i="1"/>
  <c r="AB191" i="1"/>
  <c r="Z191" i="1"/>
  <c r="X191" i="1"/>
  <c r="AC154" i="1"/>
  <c r="AA154" i="1"/>
  <c r="Y154" i="1"/>
  <c r="W154" i="1"/>
  <c r="AD301" i="1"/>
  <c r="AD185" i="1"/>
  <c r="AB185" i="1"/>
  <c r="Z185" i="1"/>
  <c r="X185" i="1"/>
  <c r="AC194" i="1"/>
  <c r="AA194" i="1"/>
  <c r="Y194" i="1"/>
  <c r="W194" i="1"/>
  <c r="AD91" i="1"/>
  <c r="AB91" i="1"/>
  <c r="Z91" i="1"/>
  <c r="X91" i="1"/>
  <c r="AC184" i="1"/>
  <c r="AA184" i="1"/>
  <c r="Y184" i="1"/>
  <c r="W184" i="1"/>
  <c r="AD176" i="1"/>
  <c r="AB176" i="1"/>
  <c r="Z176" i="1"/>
  <c r="X176" i="1"/>
  <c r="AD186" i="1"/>
  <c r="AB186" i="1"/>
  <c r="Z186" i="1"/>
  <c r="X186" i="1"/>
  <c r="AD158" i="1"/>
  <c r="AB158" i="1"/>
  <c r="Z158" i="1"/>
  <c r="X158" i="1"/>
  <c r="AC193" i="1"/>
  <c r="AA193" i="1"/>
  <c r="Y193" i="1"/>
  <c r="W193" i="1"/>
  <c r="AD188" i="1"/>
  <c r="AB188" i="1"/>
  <c r="Z188" i="1"/>
  <c r="X188" i="1"/>
  <c r="AC191" i="1"/>
  <c r="AA191" i="1"/>
  <c r="Y191" i="1"/>
  <c r="W191" i="1"/>
  <c r="AD154" i="1"/>
  <c r="AB154" i="1"/>
  <c r="Z154" i="1"/>
  <c r="X154" i="1"/>
  <c r="AC301" i="1"/>
  <c r="AA301" i="1"/>
  <c r="Y301" i="1"/>
  <c r="W301" i="1"/>
  <c r="AC173" i="1"/>
  <c r="AA173" i="1"/>
  <c r="Y173" i="1"/>
  <c r="W173" i="1"/>
  <c r="AC179" i="1"/>
  <c r="AA179" i="1"/>
  <c r="Y179" i="1"/>
  <c r="W179" i="1"/>
  <c r="AC182" i="1"/>
  <c r="AA182" i="1"/>
  <c r="Y182" i="1"/>
  <c r="W182" i="1"/>
  <c r="AD180" i="1"/>
  <c r="AB180" i="1"/>
  <c r="Z180" i="1"/>
  <c r="X180" i="1"/>
  <c r="AD124" i="1"/>
  <c r="AB124" i="1"/>
  <c r="Z124" i="1"/>
  <c r="X124" i="1"/>
  <c r="AC162" i="1"/>
  <c r="AA162" i="1"/>
  <c r="Y162" i="1"/>
  <c r="W162" i="1"/>
  <c r="AD190" i="1"/>
  <c r="AB190" i="1"/>
  <c r="Z190" i="1"/>
  <c r="X190" i="1"/>
  <c r="AC209" i="1"/>
  <c r="AA209" i="1"/>
  <c r="Y209" i="1"/>
  <c r="W209" i="1"/>
  <c r="AD210" i="1"/>
  <c r="AB210" i="1"/>
  <c r="Z210" i="1"/>
  <c r="X210" i="1"/>
  <c r="AC167" i="1"/>
  <c r="AA167" i="1"/>
  <c r="Y167" i="1"/>
  <c r="W167" i="1"/>
  <c r="AD187" i="1"/>
  <c r="AB187" i="1"/>
  <c r="Z187" i="1"/>
  <c r="X187" i="1"/>
  <c r="AC157" i="1"/>
  <c r="AA157" i="1"/>
  <c r="Y157" i="1"/>
  <c r="W157" i="1"/>
  <c r="AD289" i="1"/>
  <c r="AB289" i="1"/>
  <c r="Z289" i="1"/>
  <c r="X289" i="1"/>
  <c r="AC171" i="1"/>
  <c r="AA171" i="1"/>
  <c r="Y171" i="1"/>
  <c r="W171" i="1"/>
  <c r="AD264" i="1"/>
  <c r="AB264" i="1"/>
  <c r="Z264" i="1"/>
  <c r="X264" i="1"/>
  <c r="AB301" i="1"/>
  <c r="Z301" i="1"/>
  <c r="X301" i="1"/>
  <c r="AD173" i="1"/>
  <c r="AB173" i="1"/>
  <c r="Z173" i="1"/>
  <c r="X173" i="1"/>
  <c r="AD179" i="1"/>
  <c r="AB179" i="1"/>
  <c r="Z179" i="1"/>
  <c r="X179" i="1"/>
  <c r="AD182" i="1"/>
  <c r="AB182" i="1"/>
  <c r="Z182" i="1"/>
  <c r="X182" i="1"/>
  <c r="AC180" i="1"/>
  <c r="AA180" i="1"/>
  <c r="Y180" i="1"/>
  <c r="W180" i="1"/>
  <c r="AC124" i="1"/>
  <c r="AA124" i="1"/>
  <c r="Y124" i="1"/>
  <c r="W124" i="1"/>
  <c r="AD162" i="1"/>
  <c r="AB162" i="1"/>
  <c r="Z162" i="1"/>
  <c r="X162" i="1"/>
  <c r="AC190" i="1"/>
  <c r="AA190" i="1"/>
  <c r="Y190" i="1"/>
  <c r="W190" i="1"/>
  <c r="AD209" i="1"/>
  <c r="AB209" i="1"/>
  <c r="Z209" i="1"/>
  <c r="X209" i="1"/>
  <c r="AC210" i="1"/>
  <c r="AA210" i="1"/>
  <c r="Y210" i="1"/>
  <c r="W210" i="1"/>
  <c r="AD167" i="1"/>
  <c r="AB167" i="1"/>
  <c r="Z167" i="1"/>
  <c r="X167" i="1"/>
  <c r="AC187" i="1"/>
  <c r="AA187" i="1"/>
  <c r="Y187" i="1"/>
  <c r="W187" i="1"/>
  <c r="AD157" i="1"/>
  <c r="AB157" i="1"/>
  <c r="Z157" i="1"/>
  <c r="X157" i="1"/>
  <c r="AC289" i="1"/>
  <c r="AA289" i="1"/>
  <c r="W289" i="1"/>
  <c r="AD171" i="1"/>
  <c r="Z171" i="1"/>
  <c r="AA264" i="1"/>
  <c r="W264" i="1"/>
  <c r="AC169" i="1"/>
  <c r="AA169" i="1"/>
  <c r="Y169" i="1"/>
  <c r="W169" i="1"/>
  <c r="AD70" i="1"/>
  <c r="AB70" i="1"/>
  <c r="Z70" i="1"/>
  <c r="X70" i="1"/>
  <c r="AC156" i="1"/>
  <c r="AA156" i="1"/>
  <c r="Y156" i="1"/>
  <c r="W156" i="1"/>
  <c r="AD71" i="1"/>
  <c r="AB71" i="1"/>
  <c r="Z71" i="1"/>
  <c r="X71" i="1"/>
  <c r="AC175" i="1"/>
  <c r="AA175" i="1"/>
  <c r="Y175" i="1"/>
  <c r="W175" i="1"/>
  <c r="AD174" i="1"/>
  <c r="AB174" i="1"/>
  <c r="Z174" i="1"/>
  <c r="X174" i="1"/>
  <c r="AD240" i="1"/>
  <c r="AB240" i="1"/>
  <c r="Z240" i="1"/>
  <c r="X240" i="1"/>
  <c r="AC267" i="1"/>
  <c r="AA267" i="1"/>
  <c r="Y267" i="1"/>
  <c r="W267" i="1"/>
  <c r="AC155" i="1"/>
  <c r="AA155" i="1"/>
  <c r="Y155" i="1"/>
  <c r="W155" i="1"/>
  <c r="AD81" i="1"/>
  <c r="AB81" i="1"/>
  <c r="Z81" i="1"/>
  <c r="X81" i="1"/>
  <c r="AC266" i="1"/>
  <c r="AA266" i="1"/>
  <c r="Y266" i="1"/>
  <c r="W266" i="1"/>
  <c r="AD262" i="1"/>
  <c r="AB262" i="1"/>
  <c r="Z262" i="1"/>
  <c r="X262" i="1"/>
  <c r="AC153" i="1"/>
  <c r="AA153" i="1"/>
  <c r="Y153" i="1"/>
  <c r="W153" i="1"/>
  <c r="AD84" i="1"/>
  <c r="AB84" i="1"/>
  <c r="Z84" i="1"/>
  <c r="X84" i="1"/>
  <c r="AC183" i="1"/>
  <c r="AA183" i="1"/>
  <c r="Y183" i="1"/>
  <c r="W183" i="1"/>
  <c r="AD314" i="1"/>
  <c r="AB314" i="1"/>
  <c r="Z314" i="1"/>
  <c r="X314" i="1"/>
  <c r="AC268" i="1"/>
  <c r="AA268" i="1"/>
  <c r="Y268" i="1"/>
  <c r="W268" i="1"/>
  <c r="AD170" i="1"/>
  <c r="AB170" i="1"/>
  <c r="Z170" i="1"/>
  <c r="X170" i="1"/>
  <c r="AC159" i="1"/>
  <c r="AA159" i="1"/>
  <c r="Y159" i="1"/>
  <c r="W159" i="1"/>
  <c r="AD126" i="1"/>
  <c r="AB126" i="1"/>
  <c r="Z126" i="1"/>
  <c r="X126" i="1"/>
  <c r="AC260" i="1"/>
  <c r="AA260" i="1"/>
  <c r="Y260" i="1"/>
  <c r="W260" i="1"/>
  <c r="AD258" i="1"/>
  <c r="AB258" i="1"/>
  <c r="Z258" i="1"/>
  <c r="X258" i="1"/>
  <c r="AC243" i="1"/>
  <c r="AA243" i="1"/>
  <c r="Y243" i="1"/>
  <c r="W243" i="1"/>
  <c r="AD63" i="1"/>
  <c r="AB63" i="1"/>
  <c r="Z63" i="1"/>
  <c r="X63" i="1"/>
  <c r="AC104" i="1"/>
  <c r="AA104" i="1"/>
  <c r="Y104" i="1"/>
  <c r="W104" i="1"/>
  <c r="AD168" i="1"/>
  <c r="AB168" i="1"/>
  <c r="Z168" i="1"/>
  <c r="X168" i="1"/>
  <c r="AD298" i="1"/>
  <c r="AB298" i="1"/>
  <c r="Z298" i="1"/>
  <c r="X298" i="1"/>
  <c r="AC147" i="1"/>
  <c r="AA147" i="1"/>
  <c r="Y147" i="1"/>
  <c r="W147" i="1"/>
  <c r="AD253" i="1"/>
  <c r="AB253" i="1"/>
  <c r="Z253" i="1"/>
  <c r="X253" i="1"/>
  <c r="AC161" i="1"/>
  <c r="Y289" i="1"/>
  <c r="AB171" i="1"/>
  <c r="X171" i="1"/>
  <c r="AC264" i="1"/>
  <c r="Y264" i="1"/>
  <c r="AD169" i="1"/>
  <c r="AB169" i="1"/>
  <c r="Z169" i="1"/>
  <c r="X169" i="1"/>
  <c r="AC70" i="1"/>
  <c r="AA70" i="1"/>
  <c r="Y70" i="1"/>
  <c r="W70" i="1"/>
  <c r="AD156" i="1"/>
  <c r="AB156" i="1"/>
  <c r="Z156" i="1"/>
  <c r="X156" i="1"/>
  <c r="AC71" i="1"/>
  <c r="AA71" i="1"/>
  <c r="Y71" i="1"/>
  <c r="W71" i="1"/>
  <c r="AD175" i="1"/>
  <c r="AB175" i="1"/>
  <c r="Z175" i="1"/>
  <c r="X175" i="1"/>
  <c r="AC174" i="1"/>
  <c r="AA174" i="1"/>
  <c r="Y174" i="1"/>
  <c r="W174" i="1"/>
  <c r="AC240" i="1"/>
  <c r="AA240" i="1"/>
  <c r="Y240" i="1"/>
  <c r="W240" i="1"/>
  <c r="AD267" i="1"/>
  <c r="AB267" i="1"/>
  <c r="Z267" i="1"/>
  <c r="X267" i="1"/>
  <c r="AD155" i="1"/>
  <c r="AB155" i="1"/>
  <c r="Z155" i="1"/>
  <c r="X155" i="1"/>
  <c r="AC81" i="1"/>
  <c r="AA81" i="1"/>
  <c r="Y81" i="1"/>
  <c r="W81" i="1"/>
  <c r="AD266" i="1"/>
  <c r="AB266" i="1"/>
  <c r="Z266" i="1"/>
  <c r="X266" i="1"/>
  <c r="AC262" i="1"/>
  <c r="AA262" i="1"/>
  <c r="Y262" i="1"/>
  <c r="W262" i="1"/>
  <c r="AD153" i="1"/>
  <c r="AB153" i="1"/>
  <c r="Z153" i="1"/>
  <c r="X153" i="1"/>
  <c r="AC84" i="1"/>
  <c r="AA84" i="1"/>
  <c r="Y84" i="1"/>
  <c r="W84" i="1"/>
  <c r="AD183" i="1"/>
  <c r="AB183" i="1"/>
  <c r="Z183" i="1"/>
  <c r="X183" i="1"/>
  <c r="AC314" i="1"/>
  <c r="AA314" i="1"/>
  <c r="Y314" i="1"/>
  <c r="W314" i="1"/>
  <c r="AD268" i="1"/>
  <c r="AB268" i="1"/>
  <c r="Z268" i="1"/>
  <c r="X268" i="1"/>
  <c r="AC170" i="1"/>
  <c r="AA170" i="1"/>
  <c r="Y170" i="1"/>
  <c r="W170" i="1"/>
  <c r="AD159" i="1"/>
  <c r="AB159" i="1"/>
  <c r="Z159" i="1"/>
  <c r="X159" i="1"/>
  <c r="AC126" i="1"/>
  <c r="AA126" i="1"/>
  <c r="Y126" i="1"/>
  <c r="W126" i="1"/>
  <c r="AD260" i="1"/>
  <c r="AB260" i="1"/>
  <c r="Z260" i="1"/>
  <c r="X260" i="1"/>
  <c r="AC258" i="1"/>
  <c r="AA258" i="1"/>
  <c r="Y258" i="1"/>
  <c r="W258" i="1"/>
  <c r="AD243" i="1"/>
  <c r="AB243" i="1"/>
  <c r="Z243" i="1"/>
  <c r="X243" i="1"/>
  <c r="AC63" i="1"/>
  <c r="AA63" i="1"/>
  <c r="Y63" i="1"/>
  <c r="W63" i="1"/>
  <c r="AD104" i="1"/>
  <c r="AB104" i="1"/>
  <c r="Z104" i="1"/>
  <c r="X104" i="1"/>
  <c r="AC168" i="1"/>
  <c r="AA168" i="1"/>
  <c r="W168" i="1"/>
  <c r="AA298" i="1"/>
  <c r="W298" i="1"/>
  <c r="AD147" i="1"/>
  <c r="Z147" i="1"/>
  <c r="AA253" i="1"/>
  <c r="W253" i="1"/>
  <c r="AD161" i="1"/>
  <c r="AA161" i="1"/>
  <c r="Y161" i="1"/>
  <c r="W161" i="1"/>
  <c r="AC308" i="1"/>
  <c r="AA308" i="1"/>
  <c r="Y308" i="1"/>
  <c r="W308" i="1"/>
  <c r="AD57" i="1"/>
  <c r="AB57" i="1"/>
  <c r="Z57" i="1"/>
  <c r="X57" i="1"/>
  <c r="AC254" i="1"/>
  <c r="AA254" i="1"/>
  <c r="Y254" i="1"/>
  <c r="W254" i="1"/>
  <c r="AD261" i="1"/>
  <c r="AB261" i="1"/>
  <c r="Z261" i="1"/>
  <c r="X261" i="1"/>
  <c r="AC89" i="1"/>
  <c r="AA89" i="1"/>
  <c r="Y89" i="1"/>
  <c r="W89" i="1"/>
  <c r="AD178" i="1"/>
  <c r="AB178" i="1"/>
  <c r="Z178" i="1"/>
  <c r="X178" i="1"/>
  <c r="AD151" i="1"/>
  <c r="AB151" i="1"/>
  <c r="Z151" i="1"/>
  <c r="X151" i="1"/>
  <c r="AC139" i="1"/>
  <c r="AA139" i="1"/>
  <c r="Y139" i="1"/>
  <c r="W139" i="1"/>
  <c r="AD189" i="1"/>
  <c r="AB189" i="1"/>
  <c r="Z189" i="1"/>
  <c r="X189" i="1"/>
  <c r="AC302" i="1"/>
  <c r="AA302" i="1"/>
  <c r="Y302" i="1"/>
  <c r="W302" i="1"/>
  <c r="AD303" i="1"/>
  <c r="AB303" i="1"/>
  <c r="Z303" i="1"/>
  <c r="X303" i="1"/>
  <c r="AD141" i="1"/>
  <c r="AB141" i="1"/>
  <c r="Z141" i="1"/>
  <c r="X141" i="1"/>
  <c r="AC321" i="1"/>
  <c r="AA321" i="1"/>
  <c r="Y321" i="1"/>
  <c r="W321" i="1"/>
  <c r="AC95" i="1"/>
  <c r="AA95" i="1"/>
  <c r="Y95" i="1"/>
  <c r="W95" i="1"/>
  <c r="AD121" i="1"/>
  <c r="AB121" i="1"/>
  <c r="Z121" i="1"/>
  <c r="X121" i="1"/>
  <c r="AC60" i="1"/>
  <c r="AA60" i="1"/>
  <c r="Y60" i="1"/>
  <c r="W60" i="1"/>
  <c r="AD237" i="1"/>
  <c r="AB237" i="1"/>
  <c r="Z237" i="1"/>
  <c r="X237" i="1"/>
  <c r="AC142" i="1"/>
  <c r="AA142" i="1"/>
  <c r="Y142" i="1"/>
  <c r="W142" i="1"/>
  <c r="AD125" i="1"/>
  <c r="AB125" i="1"/>
  <c r="Z125" i="1"/>
  <c r="X125" i="1"/>
  <c r="AD61" i="1"/>
  <c r="AB61" i="1"/>
  <c r="Z61" i="1"/>
  <c r="X61" i="1"/>
  <c r="AC166" i="1"/>
  <c r="AA166" i="1"/>
  <c r="Y166" i="1"/>
  <c r="W166" i="1"/>
  <c r="AD109" i="1"/>
  <c r="AB109" i="1"/>
  <c r="Z109" i="1"/>
  <c r="X109" i="1"/>
  <c r="AC140" i="1"/>
  <c r="AA140" i="1"/>
  <c r="Y140" i="1"/>
  <c r="W140" i="1"/>
  <c r="AD56" i="1"/>
  <c r="AB56" i="1"/>
  <c r="Z56" i="1"/>
  <c r="X56" i="1"/>
  <c r="AC137" i="1"/>
  <c r="AA137" i="1"/>
  <c r="Y137" i="1"/>
  <c r="W137" i="1"/>
  <c r="AD252" i="1"/>
  <c r="AB252" i="1"/>
  <c r="Z252" i="1"/>
  <c r="X252" i="1"/>
  <c r="AC122" i="1"/>
  <c r="AA122" i="1"/>
  <c r="Y122" i="1"/>
  <c r="W122" i="1"/>
  <c r="AD131" i="1"/>
  <c r="AB131" i="1"/>
  <c r="Z131" i="1"/>
  <c r="X131" i="1"/>
  <c r="AC251" i="1"/>
  <c r="AA251" i="1"/>
  <c r="Y251" i="1"/>
  <c r="W251" i="1"/>
  <c r="AD259" i="1"/>
  <c r="Y168" i="1"/>
  <c r="AC298" i="1"/>
  <c r="Y298" i="1"/>
  <c r="AB147" i="1"/>
  <c r="X147" i="1"/>
  <c r="AC253" i="1"/>
  <c r="Y253" i="1"/>
  <c r="AB161" i="1"/>
  <c r="Z161" i="1"/>
  <c r="X161" i="1"/>
  <c r="AD308" i="1"/>
  <c r="AB308" i="1"/>
  <c r="Z308" i="1"/>
  <c r="X308" i="1"/>
  <c r="AC57" i="1"/>
  <c r="AA57" i="1"/>
  <c r="Y57" i="1"/>
  <c r="W57" i="1"/>
  <c r="AD254" i="1"/>
  <c r="AB254" i="1"/>
  <c r="Z254" i="1"/>
  <c r="X254" i="1"/>
  <c r="AC261" i="1"/>
  <c r="AA261" i="1"/>
  <c r="Y261" i="1"/>
  <c r="W261" i="1"/>
  <c r="AD89" i="1"/>
  <c r="AB89" i="1"/>
  <c r="Z89" i="1"/>
  <c r="X89" i="1"/>
  <c r="AC178" i="1"/>
  <c r="AA178" i="1"/>
  <c r="Y178" i="1"/>
  <c r="W178" i="1"/>
  <c r="AC151" i="1"/>
  <c r="AA151" i="1"/>
  <c r="Y151" i="1"/>
  <c r="W151" i="1"/>
  <c r="AD139" i="1"/>
  <c r="AB139" i="1"/>
  <c r="Z139" i="1"/>
  <c r="X139" i="1"/>
  <c r="AC189" i="1"/>
  <c r="AA189" i="1"/>
  <c r="Y189" i="1"/>
  <c r="W189" i="1"/>
  <c r="AD302" i="1"/>
  <c r="AB302" i="1"/>
  <c r="Z302" i="1"/>
  <c r="X302" i="1"/>
  <c r="AC303" i="1"/>
  <c r="AA303" i="1"/>
  <c r="Y303" i="1"/>
  <c r="W303" i="1"/>
  <c r="AC141" i="1"/>
  <c r="AA141" i="1"/>
  <c r="Y141" i="1"/>
  <c r="W141" i="1"/>
  <c r="AD321" i="1"/>
  <c r="AB321" i="1"/>
  <c r="Z321" i="1"/>
  <c r="X321" i="1"/>
  <c r="AD95" i="1"/>
  <c r="AB95" i="1"/>
  <c r="Z95" i="1"/>
  <c r="X95" i="1"/>
  <c r="AC121" i="1"/>
  <c r="AA121" i="1"/>
  <c r="Y121" i="1"/>
  <c r="W121" i="1"/>
  <c r="AD60" i="1"/>
  <c r="AB60" i="1"/>
  <c r="Z60" i="1"/>
  <c r="X60" i="1"/>
  <c r="AC237" i="1"/>
  <c r="AA237" i="1"/>
  <c r="Y237" i="1"/>
  <c r="W237" i="1"/>
  <c r="AD142" i="1"/>
  <c r="AB142" i="1"/>
  <c r="Z142" i="1"/>
  <c r="X142" i="1"/>
  <c r="AC125" i="1"/>
  <c r="AA125" i="1"/>
  <c r="Y125" i="1"/>
  <c r="W125" i="1"/>
  <c r="AC61" i="1"/>
  <c r="AA61" i="1"/>
  <c r="Y61" i="1"/>
  <c r="W61" i="1"/>
  <c r="AD166" i="1"/>
  <c r="AB166" i="1"/>
  <c r="Z166" i="1"/>
  <c r="X166" i="1"/>
  <c r="AC109" i="1"/>
  <c r="AA109" i="1"/>
  <c r="Y109" i="1"/>
  <c r="W109" i="1"/>
  <c r="AD140" i="1"/>
  <c r="AB140" i="1"/>
  <c r="Z140" i="1"/>
  <c r="X140" i="1"/>
  <c r="AC56" i="1"/>
  <c r="AA56" i="1"/>
  <c r="Y56" i="1"/>
  <c r="W56" i="1"/>
  <c r="AD137" i="1"/>
  <c r="AB137" i="1"/>
  <c r="Z137" i="1"/>
  <c r="X137" i="1"/>
  <c r="AC252" i="1"/>
  <c r="AA252" i="1"/>
  <c r="Y252" i="1"/>
  <c r="W252" i="1"/>
  <c r="AD122" i="1"/>
  <c r="AB122" i="1"/>
  <c r="Z122" i="1"/>
  <c r="AA131" i="1"/>
  <c r="W131" i="1"/>
  <c r="AD251" i="1"/>
  <c r="Z251" i="1"/>
  <c r="AB259" i="1"/>
  <c r="Z259" i="1"/>
  <c r="X259" i="1"/>
  <c r="AD100" i="1"/>
  <c r="AB100" i="1"/>
  <c r="Z100" i="1"/>
  <c r="X100" i="1"/>
  <c r="AD113" i="1"/>
  <c r="AB113" i="1"/>
  <c r="Z113" i="1"/>
  <c r="X113" i="1"/>
  <c r="AC135" i="1"/>
  <c r="AA135" i="1"/>
  <c r="Y135" i="1"/>
  <c r="W135" i="1"/>
  <c r="AD101" i="1"/>
  <c r="AB101" i="1"/>
  <c r="Z101" i="1"/>
  <c r="X101" i="1"/>
  <c r="AC105" i="1"/>
  <c r="AA105" i="1"/>
  <c r="Y105" i="1"/>
  <c r="W105" i="1"/>
  <c r="AC255" i="1"/>
  <c r="AA255" i="1"/>
  <c r="Y255" i="1"/>
  <c r="W255" i="1"/>
  <c r="AD53" i="1"/>
  <c r="AB53" i="1"/>
  <c r="Z53" i="1"/>
  <c r="X53" i="1"/>
  <c r="AC123" i="1"/>
  <c r="AA123" i="1"/>
  <c r="Y123" i="1"/>
  <c r="W123" i="1"/>
  <c r="AD143" i="1"/>
  <c r="AB143" i="1"/>
  <c r="Z143" i="1"/>
  <c r="X143" i="1"/>
  <c r="AC248" i="1"/>
  <c r="AA248" i="1"/>
  <c r="Y248" i="1"/>
  <c r="W248" i="1"/>
  <c r="AC177" i="1"/>
  <c r="AA177" i="1"/>
  <c r="Y177" i="1"/>
  <c r="W177" i="1"/>
  <c r="AD150" i="1"/>
  <c r="AB150" i="1"/>
  <c r="Z150" i="1"/>
  <c r="X150" i="1"/>
  <c r="AC249" i="1"/>
  <c r="AA249" i="1"/>
  <c r="Y249" i="1"/>
  <c r="W249" i="1"/>
  <c r="AC246" i="1"/>
  <c r="AA246" i="1"/>
  <c r="Y246" i="1"/>
  <c r="W246" i="1"/>
  <c r="AD148" i="1"/>
  <c r="AB148" i="1"/>
  <c r="Z148" i="1"/>
  <c r="X148" i="1"/>
  <c r="AD152" i="1"/>
  <c r="AB152" i="1"/>
  <c r="Z152" i="1"/>
  <c r="X152" i="1"/>
  <c r="AC136" i="1"/>
  <c r="AA136" i="1"/>
  <c r="Y136" i="1"/>
  <c r="W136" i="1"/>
  <c r="AD247" i="1"/>
  <c r="AB247" i="1"/>
  <c r="Z247" i="1"/>
  <c r="X247" i="1"/>
  <c r="AC112" i="1"/>
  <c r="AA112" i="1"/>
  <c r="Y112" i="1"/>
  <c r="W112" i="1"/>
  <c r="AD80" i="1"/>
  <c r="AB80" i="1"/>
  <c r="Z80" i="1"/>
  <c r="X80" i="1"/>
  <c r="AC111" i="1"/>
  <c r="AA111" i="1"/>
  <c r="Y111" i="1"/>
  <c r="W111" i="1"/>
  <c r="AC309" i="1"/>
  <c r="AA309" i="1"/>
  <c r="Y309" i="1"/>
  <c r="W309" i="1"/>
  <c r="AC265" i="1"/>
  <c r="AA265" i="1"/>
  <c r="Y265" i="1"/>
  <c r="W265" i="1"/>
  <c r="AD164" i="1"/>
  <c r="AB164" i="1"/>
  <c r="Z164" i="1"/>
  <c r="X164" i="1"/>
  <c r="AC103" i="1"/>
  <c r="AA103" i="1"/>
  <c r="Y103" i="1"/>
  <c r="W103" i="1"/>
  <c r="AD291" i="1"/>
  <c r="AB291" i="1"/>
  <c r="Z291" i="1"/>
  <c r="X291" i="1"/>
  <c r="AC198" i="1"/>
  <c r="AA198" i="1"/>
  <c r="Y198" i="1"/>
  <c r="W198" i="1"/>
  <c r="AD68" i="1"/>
  <c r="AB68" i="1"/>
  <c r="Z68" i="1"/>
  <c r="X68" i="1"/>
  <c r="AC94" i="1"/>
  <c r="AA94" i="1"/>
  <c r="Y94" i="1"/>
  <c r="W94" i="1"/>
  <c r="AD90" i="1"/>
  <c r="AB90" i="1"/>
  <c r="Z90" i="1"/>
  <c r="X90" i="1"/>
  <c r="AC134" i="1"/>
  <c r="AA134" i="1"/>
  <c r="Y134" i="1"/>
  <c r="W134" i="1"/>
  <c r="AD207" i="1"/>
  <c r="AB207" i="1"/>
  <c r="Z207" i="1"/>
  <c r="X207" i="1"/>
  <c r="AC204" i="1"/>
  <c r="AA204" i="1"/>
  <c r="Y204" i="1"/>
  <c r="W204" i="1"/>
  <c r="AD208" i="1"/>
  <c r="AB208" i="1"/>
  <c r="Z208" i="1"/>
  <c r="X208" i="1"/>
  <c r="AC206" i="1"/>
  <c r="AA206" i="1"/>
  <c r="Y206" i="1"/>
  <c r="W206" i="1"/>
  <c r="AD55" i="1"/>
  <c r="AB55" i="1"/>
  <c r="Z55" i="1"/>
  <c r="X55" i="1"/>
  <c r="AC145" i="1"/>
  <c r="AA145" i="1"/>
  <c r="Y145" i="1"/>
  <c r="W145" i="1"/>
  <c r="AD93" i="1"/>
  <c r="AB93" i="1"/>
  <c r="Z93" i="1"/>
  <c r="X93" i="1"/>
  <c r="AC160" i="1"/>
  <c r="AA160" i="1"/>
  <c r="Y160" i="1"/>
  <c r="W160" i="1"/>
  <c r="AC129" i="1"/>
  <c r="AA129" i="1"/>
  <c r="Y129" i="1"/>
  <c r="W129" i="1"/>
  <c r="AC51" i="1"/>
  <c r="AA51" i="1"/>
  <c r="Y51" i="1"/>
  <c r="W51" i="1"/>
  <c r="AD85" i="1"/>
  <c r="AB85" i="1"/>
  <c r="Z85" i="1"/>
  <c r="X85" i="1"/>
  <c r="AC79" i="1"/>
  <c r="AA79" i="1"/>
  <c r="Y79" i="1"/>
  <c r="W79" i="1"/>
  <c r="AC115" i="1"/>
  <c r="AA115" i="1"/>
  <c r="Y115" i="1"/>
  <c r="W115" i="1"/>
  <c r="AD138" i="1"/>
  <c r="AB138" i="1"/>
  <c r="Z138" i="1"/>
  <c r="X138" i="1"/>
  <c r="AC76" i="1"/>
  <c r="AA76" i="1"/>
  <c r="Y76" i="1"/>
  <c r="W76" i="1"/>
  <c r="AC296" i="1"/>
  <c r="AA296" i="1"/>
  <c r="Y296" i="1"/>
  <c r="W296" i="1"/>
  <c r="AD290" i="1"/>
  <c r="AB290" i="1"/>
  <c r="Z290" i="1"/>
  <c r="X290" i="1"/>
  <c r="AC149" i="1"/>
  <c r="AA149" i="1"/>
  <c r="Y149" i="1"/>
  <c r="W149" i="1"/>
  <c r="AD64" i="1"/>
  <c r="AB64" i="1"/>
  <c r="Z64" i="1"/>
  <c r="X64" i="1"/>
  <c r="AD276" i="1"/>
  <c r="AB276" i="1"/>
  <c r="Z276" i="1"/>
  <c r="X276" i="1"/>
  <c r="AC110" i="1"/>
  <c r="AA110" i="1"/>
  <c r="Y110" i="1"/>
  <c r="W110" i="1"/>
  <c r="AC239" i="1"/>
  <c r="AA239" i="1"/>
  <c r="Y239" i="1"/>
  <c r="W239" i="1"/>
  <c r="AD117" i="1"/>
  <c r="X122" i="1"/>
  <c r="AC131" i="1"/>
  <c r="Y131" i="1"/>
  <c r="AB251" i="1"/>
  <c r="X251" i="1"/>
  <c r="AC259" i="1"/>
  <c r="AA259" i="1"/>
  <c r="Y259" i="1"/>
  <c r="W259" i="1"/>
  <c r="AC100" i="1"/>
  <c r="AA100" i="1"/>
  <c r="Y100" i="1"/>
  <c r="W100" i="1"/>
  <c r="AC113" i="1"/>
  <c r="AA113" i="1"/>
  <c r="Y113" i="1"/>
  <c r="W113" i="1"/>
  <c r="AD135" i="1"/>
  <c r="AB135" i="1"/>
  <c r="Z135" i="1"/>
  <c r="X135" i="1"/>
  <c r="AC101" i="1"/>
  <c r="AA101" i="1"/>
  <c r="Y101" i="1"/>
  <c r="W101" i="1"/>
  <c r="AD105" i="1"/>
  <c r="AB105" i="1"/>
  <c r="Z105" i="1"/>
  <c r="X105" i="1"/>
  <c r="AD255" i="1"/>
  <c r="AB255" i="1"/>
  <c r="Z255" i="1"/>
  <c r="X255" i="1"/>
  <c r="AC53" i="1"/>
  <c r="AA53" i="1"/>
  <c r="Y53" i="1"/>
  <c r="W53" i="1"/>
  <c r="AD123" i="1"/>
  <c r="AB123" i="1"/>
  <c r="Z123" i="1"/>
  <c r="X123" i="1"/>
  <c r="AC143" i="1"/>
  <c r="AA143" i="1"/>
  <c r="Y143" i="1"/>
  <c r="W143" i="1"/>
  <c r="AD248" i="1"/>
  <c r="AB248" i="1"/>
  <c r="Z248" i="1"/>
  <c r="X248" i="1"/>
  <c r="AD177" i="1"/>
  <c r="AB177" i="1"/>
  <c r="Z177" i="1"/>
  <c r="X177" i="1"/>
  <c r="AC150" i="1"/>
  <c r="AA150" i="1"/>
  <c r="Y150" i="1"/>
  <c r="W150" i="1"/>
  <c r="AD249" i="1"/>
  <c r="AB249" i="1"/>
  <c r="Z249" i="1"/>
  <c r="X249" i="1"/>
  <c r="AD246" i="1"/>
  <c r="AB246" i="1"/>
  <c r="Z246" i="1"/>
  <c r="X246" i="1"/>
  <c r="AC148" i="1"/>
  <c r="AA148" i="1"/>
  <c r="Y148" i="1"/>
  <c r="W148" i="1"/>
  <c r="AC152" i="1"/>
  <c r="AA152" i="1"/>
  <c r="Y152" i="1"/>
  <c r="W152" i="1"/>
  <c r="AD136" i="1"/>
  <c r="AB136" i="1"/>
  <c r="Z136" i="1"/>
  <c r="X136" i="1"/>
  <c r="AC247" i="1"/>
  <c r="AA247" i="1"/>
  <c r="Y247" i="1"/>
  <c r="W247" i="1"/>
  <c r="AD112" i="1"/>
  <c r="AB112" i="1"/>
  <c r="Z112" i="1"/>
  <c r="X112" i="1"/>
  <c r="AC80" i="1"/>
  <c r="AA80" i="1"/>
  <c r="Y80" i="1"/>
  <c r="W80" i="1"/>
  <c r="AD111" i="1"/>
  <c r="AB111" i="1"/>
  <c r="Z111" i="1"/>
  <c r="X111" i="1"/>
  <c r="AD309" i="1"/>
  <c r="AB309" i="1"/>
  <c r="Z309" i="1"/>
  <c r="X309" i="1"/>
  <c r="AD265" i="1"/>
  <c r="AB265" i="1"/>
  <c r="Z265" i="1"/>
  <c r="X265" i="1"/>
  <c r="AC164" i="1"/>
  <c r="AA164" i="1"/>
  <c r="Y164" i="1"/>
  <c r="W164" i="1"/>
  <c r="AD103" i="1"/>
  <c r="AB103" i="1"/>
  <c r="Z103" i="1"/>
  <c r="X103" i="1"/>
  <c r="AC291" i="1"/>
  <c r="AA291" i="1"/>
  <c r="Y291" i="1"/>
  <c r="W291" i="1"/>
  <c r="AD198" i="1"/>
  <c r="AB198" i="1"/>
  <c r="Z198" i="1"/>
  <c r="X198" i="1"/>
  <c r="AC68" i="1"/>
  <c r="AA68" i="1"/>
  <c r="Y68" i="1"/>
  <c r="W68" i="1"/>
  <c r="AD94" i="1"/>
  <c r="AB94" i="1"/>
  <c r="Z94" i="1"/>
  <c r="X94" i="1"/>
  <c r="AC90" i="1"/>
  <c r="AA90" i="1"/>
  <c r="Y90" i="1"/>
  <c r="W90" i="1"/>
  <c r="AD134" i="1"/>
  <c r="AB134" i="1"/>
  <c r="Z134" i="1"/>
  <c r="X134" i="1"/>
  <c r="AC207" i="1"/>
  <c r="AA207" i="1"/>
  <c r="Y207" i="1"/>
  <c r="W207" i="1"/>
  <c r="AD204" i="1"/>
  <c r="AB204" i="1"/>
  <c r="Z204" i="1"/>
  <c r="X204" i="1"/>
  <c r="AC208" i="1"/>
  <c r="AA208" i="1"/>
  <c r="Y208" i="1"/>
  <c r="W208" i="1"/>
  <c r="AD206" i="1"/>
  <c r="AB206" i="1"/>
  <c r="Z206" i="1"/>
  <c r="X206" i="1"/>
  <c r="AC55" i="1"/>
  <c r="AA55" i="1"/>
  <c r="Y55" i="1"/>
  <c r="W55" i="1"/>
  <c r="AD145" i="1"/>
  <c r="AB145" i="1"/>
  <c r="Z145" i="1"/>
  <c r="X145" i="1"/>
  <c r="AC93" i="1"/>
  <c r="AA93" i="1"/>
  <c r="Y93" i="1"/>
  <c r="W93" i="1"/>
  <c r="AD160" i="1"/>
  <c r="AB160" i="1"/>
  <c r="Z160" i="1"/>
  <c r="X160" i="1"/>
  <c r="AD129" i="1"/>
  <c r="AB129" i="1"/>
  <c r="Z129" i="1"/>
  <c r="X129" i="1"/>
  <c r="AD51" i="1"/>
  <c r="AB51" i="1"/>
  <c r="Z51" i="1"/>
  <c r="X51" i="1"/>
  <c r="AC85" i="1"/>
  <c r="AA85" i="1"/>
  <c r="Y85" i="1"/>
  <c r="W85" i="1"/>
  <c r="AD79" i="1"/>
  <c r="AB79" i="1"/>
  <c r="Z79" i="1"/>
  <c r="X79" i="1"/>
  <c r="AD115" i="1"/>
  <c r="AB115" i="1"/>
  <c r="Z115" i="1"/>
  <c r="X115" i="1"/>
  <c r="AC138" i="1"/>
  <c r="AA138" i="1"/>
  <c r="Y138" i="1"/>
  <c r="W138" i="1"/>
  <c r="AD76" i="1"/>
  <c r="AB76" i="1"/>
  <c r="Z76" i="1"/>
  <c r="X76" i="1"/>
  <c r="AD296" i="1"/>
  <c r="AB296" i="1"/>
  <c r="Z296" i="1"/>
  <c r="X296" i="1"/>
  <c r="AC290" i="1"/>
  <c r="AA290" i="1"/>
  <c r="Y290" i="1"/>
  <c r="W290" i="1"/>
  <c r="AD149" i="1"/>
  <c r="AB149" i="1"/>
  <c r="Z149" i="1"/>
  <c r="X149" i="1"/>
  <c r="AC64" i="1"/>
  <c r="Y64" i="1"/>
  <c r="AC276" i="1"/>
  <c r="Y276" i="1"/>
  <c r="AB110" i="1"/>
  <c r="X110" i="1"/>
  <c r="AB239" i="1"/>
  <c r="X239" i="1"/>
  <c r="AC117" i="1"/>
  <c r="AA117" i="1"/>
  <c r="Y117" i="1"/>
  <c r="W117" i="1"/>
  <c r="AD118" i="1"/>
  <c r="AB118" i="1"/>
  <c r="Z118" i="1"/>
  <c r="X118" i="1"/>
  <c r="AC108" i="1"/>
  <c r="AA108" i="1"/>
  <c r="Y108" i="1"/>
  <c r="W108" i="1"/>
  <c r="AD231" i="1"/>
  <c r="AB231" i="1"/>
  <c r="Z231" i="1"/>
  <c r="X231" i="1"/>
  <c r="AC230" i="1"/>
  <c r="AA230" i="1"/>
  <c r="Y230" i="1"/>
  <c r="W230" i="1"/>
  <c r="AC165" i="1"/>
  <c r="AA165" i="1"/>
  <c r="Y165" i="1"/>
  <c r="W165" i="1"/>
  <c r="AD107" i="1"/>
  <c r="AB107" i="1"/>
  <c r="Z107" i="1"/>
  <c r="X107" i="1"/>
  <c r="AC133" i="1"/>
  <c r="AA133" i="1"/>
  <c r="Y133" i="1"/>
  <c r="W133" i="1"/>
  <c r="AC116" i="1"/>
  <c r="AA116" i="1"/>
  <c r="Y116" i="1"/>
  <c r="W116" i="1"/>
  <c r="AD172" i="1"/>
  <c r="AB172" i="1"/>
  <c r="Z172" i="1"/>
  <c r="X172" i="1"/>
  <c r="AC66" i="1"/>
  <c r="AA66" i="1"/>
  <c r="Y66" i="1"/>
  <c r="W66" i="1"/>
  <c r="AC286" i="1"/>
  <c r="AA286" i="1"/>
  <c r="Y286" i="1"/>
  <c r="W286" i="1"/>
  <c r="AD163" i="1"/>
  <c r="AB163" i="1"/>
  <c r="Z163" i="1"/>
  <c r="X163" i="1"/>
  <c r="AC10" i="1"/>
  <c r="AA10" i="1"/>
  <c r="Y10" i="1"/>
  <c r="W10" i="1"/>
  <c r="AD128" i="1"/>
  <c r="AB128" i="1"/>
  <c r="Z128" i="1"/>
  <c r="X128" i="1"/>
  <c r="AD17" i="1"/>
  <c r="AB17" i="1"/>
  <c r="Z17" i="1"/>
  <c r="X17" i="1"/>
  <c r="AC44" i="1"/>
  <c r="AA44" i="1"/>
  <c r="Y44" i="1"/>
  <c r="W44" i="1"/>
  <c r="AD82" i="1"/>
  <c r="AB82" i="1"/>
  <c r="Z82" i="1"/>
  <c r="X82" i="1"/>
  <c r="AC263" i="1"/>
  <c r="AA263" i="1"/>
  <c r="Y263" i="1"/>
  <c r="W263" i="1"/>
  <c r="AD99" i="1"/>
  <c r="AB99" i="1"/>
  <c r="Z99" i="1"/>
  <c r="X99" i="1"/>
  <c r="AD324" i="1"/>
  <c r="AB324" i="1"/>
  <c r="Z324" i="1"/>
  <c r="X324" i="1"/>
  <c r="AC86" i="1"/>
  <c r="AA86" i="1"/>
  <c r="Y86" i="1"/>
  <c r="W86" i="1"/>
  <c r="AD28" i="1"/>
  <c r="AB28" i="1"/>
  <c r="Z28" i="1"/>
  <c r="X28" i="1"/>
  <c r="AC97" i="1"/>
  <c r="AA97" i="1"/>
  <c r="Y97" i="1"/>
  <c r="W97" i="1"/>
  <c r="AD41" i="1"/>
  <c r="AB41" i="1"/>
  <c r="Z41" i="1"/>
  <c r="X41" i="1"/>
  <c r="AC16" i="1"/>
  <c r="AA16" i="1"/>
  <c r="Y16" i="1"/>
  <c r="W16" i="1"/>
  <c r="AD46" i="1"/>
  <c r="AB46" i="1"/>
  <c r="Z46" i="1"/>
  <c r="X46" i="1"/>
  <c r="AC297" i="1"/>
  <c r="AA297" i="1"/>
  <c r="Y297" i="1"/>
  <c r="W297" i="1"/>
  <c r="AC119" i="1"/>
  <c r="AA119" i="1"/>
  <c r="Y119" i="1"/>
  <c r="W119" i="1"/>
  <c r="AC205" i="1"/>
  <c r="AA205" i="1"/>
  <c r="Y205" i="1"/>
  <c r="W205" i="1"/>
  <c r="AD45" i="1"/>
  <c r="AB45" i="1"/>
  <c r="Z45" i="1"/>
  <c r="X45" i="1"/>
  <c r="AC50" i="1"/>
  <c r="AA50" i="1"/>
  <c r="Y50" i="1"/>
  <c r="W50" i="1"/>
  <c r="AC146" i="1"/>
  <c r="AA146" i="1"/>
  <c r="Y146" i="1"/>
  <c r="W146" i="1"/>
  <c r="AD242" i="1"/>
  <c r="AB242" i="1"/>
  <c r="Z242" i="1"/>
  <c r="X242" i="1"/>
  <c r="AC245" i="1"/>
  <c r="AA245" i="1"/>
  <c r="Y245" i="1"/>
  <c r="W245" i="1"/>
  <c r="AC43" i="1"/>
  <c r="AA43" i="1"/>
  <c r="Y43" i="1"/>
  <c r="W43" i="1"/>
  <c r="AD320" i="1"/>
  <c r="AB320" i="1"/>
  <c r="Z320" i="1"/>
  <c r="X320" i="1"/>
  <c r="AD36" i="1"/>
  <c r="AB36" i="1"/>
  <c r="Z36" i="1"/>
  <c r="X36" i="1"/>
  <c r="AD201" i="1"/>
  <c r="AB201" i="1"/>
  <c r="Z201" i="1"/>
  <c r="X201" i="1"/>
  <c r="AC98" i="1"/>
  <c r="AA98" i="1"/>
  <c r="Y98" i="1"/>
  <c r="W98" i="1"/>
  <c r="AD88" i="1"/>
  <c r="AB88" i="1"/>
  <c r="Z88" i="1"/>
  <c r="X88" i="1"/>
  <c r="AD106" i="1"/>
  <c r="AB106" i="1"/>
  <c r="Z106" i="1"/>
  <c r="X106" i="1"/>
  <c r="AC42" i="1"/>
  <c r="AA42" i="1"/>
  <c r="Y42" i="1"/>
  <c r="W42" i="1"/>
  <c r="AD34" i="1"/>
  <c r="AB34" i="1"/>
  <c r="Z34" i="1"/>
  <c r="X34" i="1"/>
  <c r="AC75" i="1"/>
  <c r="AA75" i="1"/>
  <c r="Y75" i="1"/>
  <c r="W75" i="1"/>
  <c r="AD238" i="1"/>
  <c r="AB238" i="1"/>
  <c r="Z238" i="1"/>
  <c r="X238" i="1"/>
  <c r="AC39" i="1"/>
  <c r="AA39" i="1"/>
  <c r="Y39" i="1"/>
  <c r="W39" i="1"/>
  <c r="AD38" i="1"/>
  <c r="AB38" i="1"/>
  <c r="Z38" i="1"/>
  <c r="X38" i="1"/>
  <c r="AC241" i="1"/>
  <c r="AA241" i="1"/>
  <c r="Y241" i="1"/>
  <c r="W241" i="1"/>
  <c r="AC244" i="1"/>
  <c r="AA244" i="1"/>
  <c r="Y244" i="1"/>
  <c r="W244" i="1"/>
  <c r="AC49" i="1"/>
  <c r="AA49" i="1"/>
  <c r="Y49" i="1"/>
  <c r="W49" i="1"/>
  <c r="AD48" i="1"/>
  <c r="AB48" i="1"/>
  <c r="Z48" i="1"/>
  <c r="X48" i="1"/>
  <c r="AC23" i="1"/>
  <c r="AA23" i="1"/>
  <c r="AA64" i="1"/>
  <c r="W64" i="1"/>
  <c r="AA276" i="1"/>
  <c r="W276" i="1"/>
  <c r="AD110" i="1"/>
  <c r="Z110" i="1"/>
  <c r="AD239" i="1"/>
  <c r="Z239" i="1"/>
  <c r="AB117" i="1"/>
  <c r="Z117" i="1"/>
  <c r="X117" i="1"/>
  <c r="AC118" i="1"/>
  <c r="AA118" i="1"/>
  <c r="Y118" i="1"/>
  <c r="W118" i="1"/>
  <c r="AD108" i="1"/>
  <c r="AB108" i="1"/>
  <c r="Z108" i="1"/>
  <c r="X108" i="1"/>
  <c r="AC231" i="1"/>
  <c r="AA231" i="1"/>
  <c r="Y231" i="1"/>
  <c r="W231" i="1"/>
  <c r="AD230" i="1"/>
  <c r="AB230" i="1"/>
  <c r="Z230" i="1"/>
  <c r="X230" i="1"/>
  <c r="AD165" i="1"/>
  <c r="AB165" i="1"/>
  <c r="Z165" i="1"/>
  <c r="X165" i="1"/>
  <c r="AC107" i="1"/>
  <c r="AA107" i="1"/>
  <c r="Y107" i="1"/>
  <c r="W107" i="1"/>
  <c r="AD133" i="1"/>
  <c r="AB133" i="1"/>
  <c r="Z133" i="1"/>
  <c r="X133" i="1"/>
  <c r="AD116" i="1"/>
  <c r="AB116" i="1"/>
  <c r="Z116" i="1"/>
  <c r="X116" i="1"/>
  <c r="AC172" i="1"/>
  <c r="AA172" i="1"/>
  <c r="Y172" i="1"/>
  <c r="W172" i="1"/>
  <c r="AD66" i="1"/>
  <c r="AB66" i="1"/>
  <c r="Z66" i="1"/>
  <c r="X66" i="1"/>
  <c r="AD286" i="1"/>
  <c r="AB286" i="1"/>
  <c r="Z286" i="1"/>
  <c r="X286" i="1"/>
  <c r="AC163" i="1"/>
  <c r="AA163" i="1"/>
  <c r="Y163" i="1"/>
  <c r="W163" i="1"/>
  <c r="AD10" i="1"/>
  <c r="AB10" i="1"/>
  <c r="Z10" i="1"/>
  <c r="X10" i="1"/>
  <c r="AC128" i="1"/>
  <c r="AA128" i="1"/>
  <c r="Y128" i="1"/>
  <c r="W128" i="1"/>
  <c r="AC17" i="1"/>
  <c r="AA17" i="1"/>
  <c r="Y17" i="1"/>
  <c r="W17" i="1"/>
  <c r="AD44" i="1"/>
  <c r="AB44" i="1"/>
  <c r="Z44" i="1"/>
  <c r="X44" i="1"/>
  <c r="AC82" i="1"/>
  <c r="AA82" i="1"/>
  <c r="Y82" i="1"/>
  <c r="W82" i="1"/>
  <c r="AD263" i="1"/>
  <c r="AB263" i="1"/>
  <c r="Z263" i="1"/>
  <c r="X263" i="1"/>
  <c r="AC99" i="1"/>
  <c r="AA99" i="1"/>
  <c r="Y99" i="1"/>
  <c r="W99" i="1"/>
  <c r="AC324" i="1"/>
  <c r="AA324" i="1"/>
  <c r="Y324" i="1"/>
  <c r="W324" i="1"/>
  <c r="AD86" i="1"/>
  <c r="AB86" i="1"/>
  <c r="Z86" i="1"/>
  <c r="X86" i="1"/>
  <c r="AC28" i="1"/>
  <c r="AA28" i="1"/>
  <c r="Y28" i="1"/>
  <c r="W28" i="1"/>
  <c r="AD97" i="1"/>
  <c r="AB97" i="1"/>
  <c r="Z97" i="1"/>
  <c r="X97" i="1"/>
  <c r="AC41" i="1"/>
  <c r="AA41" i="1"/>
  <c r="Y41" i="1"/>
  <c r="W41" i="1"/>
  <c r="AD16" i="1"/>
  <c r="AB16" i="1"/>
  <c r="Z16" i="1"/>
  <c r="X16" i="1"/>
  <c r="AC46" i="1"/>
  <c r="AA46" i="1"/>
  <c r="Y46" i="1"/>
  <c r="W46" i="1"/>
  <c r="AD297" i="1"/>
  <c r="AB297" i="1"/>
  <c r="Z297" i="1"/>
  <c r="X297" i="1"/>
  <c r="AD119" i="1"/>
  <c r="AB119" i="1"/>
  <c r="Z119" i="1"/>
  <c r="X119" i="1"/>
  <c r="AD205" i="1"/>
  <c r="AB205" i="1"/>
  <c r="Z205" i="1"/>
  <c r="X205" i="1"/>
  <c r="AC45" i="1"/>
  <c r="AA45" i="1"/>
  <c r="Y45" i="1"/>
  <c r="W45" i="1"/>
  <c r="AD50" i="1"/>
  <c r="AB50" i="1"/>
  <c r="Z50" i="1"/>
  <c r="X50" i="1"/>
  <c r="AD146" i="1"/>
  <c r="AB146" i="1"/>
  <c r="Z146" i="1"/>
  <c r="X146" i="1"/>
  <c r="AC242" i="1"/>
  <c r="AA242" i="1"/>
  <c r="Y242" i="1"/>
  <c r="W242" i="1"/>
  <c r="AD245" i="1"/>
  <c r="AB245" i="1"/>
  <c r="Z245" i="1"/>
  <c r="X245" i="1"/>
  <c r="AD43" i="1"/>
  <c r="AB43" i="1"/>
  <c r="Z43" i="1"/>
  <c r="X43" i="1"/>
  <c r="AC320" i="1"/>
  <c r="AA320" i="1"/>
  <c r="Y320" i="1"/>
  <c r="W320" i="1"/>
  <c r="AC36" i="1"/>
  <c r="AA36" i="1"/>
  <c r="Y36" i="1"/>
  <c r="W36" i="1"/>
  <c r="AC201" i="1"/>
  <c r="AA201" i="1"/>
  <c r="Y201" i="1"/>
  <c r="W201" i="1"/>
  <c r="AD98" i="1"/>
  <c r="AB98" i="1"/>
  <c r="Z98" i="1"/>
  <c r="X98" i="1"/>
  <c r="AC88" i="1"/>
  <c r="AA88" i="1"/>
  <c r="Y88" i="1"/>
  <c r="W88" i="1"/>
  <c r="AC106" i="1"/>
  <c r="AA106" i="1"/>
  <c r="Y106" i="1"/>
  <c r="W106" i="1"/>
  <c r="AD42" i="1"/>
  <c r="AB42" i="1"/>
  <c r="Z42" i="1"/>
  <c r="X42" i="1"/>
  <c r="AC34" i="1"/>
  <c r="AA34" i="1"/>
  <c r="Y34" i="1"/>
  <c r="W34" i="1"/>
  <c r="AD75" i="1"/>
  <c r="AB75" i="1"/>
  <c r="Z75" i="1"/>
  <c r="X75" i="1"/>
  <c r="AC238" i="1"/>
  <c r="AA238" i="1"/>
  <c r="Y238" i="1"/>
  <c r="W238" i="1"/>
  <c r="AD39" i="1"/>
  <c r="AB39" i="1"/>
  <c r="Z39" i="1"/>
  <c r="X39" i="1"/>
  <c r="AC38" i="1"/>
  <c r="AA38" i="1"/>
  <c r="Y38" i="1"/>
  <c r="W38" i="1"/>
  <c r="AD241" i="1"/>
  <c r="AB241" i="1"/>
  <c r="Z241" i="1"/>
  <c r="X241" i="1"/>
  <c r="X7" i="1"/>
  <c r="Z7" i="1"/>
  <c r="AB7" i="1"/>
  <c r="AD7" i="1"/>
  <c r="X6" i="1"/>
  <c r="Z6" i="1"/>
  <c r="AB6" i="1"/>
  <c r="AD6" i="1"/>
  <c r="W8" i="1"/>
  <c r="Y8" i="1"/>
  <c r="AA8" i="1"/>
  <c r="AC8" i="1"/>
  <c r="X12" i="1"/>
  <c r="Z12" i="1"/>
  <c r="AB12" i="1"/>
  <c r="AD12" i="1"/>
  <c r="W212" i="1"/>
  <c r="Y212" i="1"/>
  <c r="AA212" i="1"/>
  <c r="AC212" i="1"/>
  <c r="X20" i="1"/>
  <c r="Z20" i="1"/>
  <c r="AB20" i="1"/>
  <c r="AD20" i="1"/>
  <c r="W250" i="1"/>
  <c r="Y250" i="1"/>
  <c r="AA250" i="1"/>
  <c r="AC250" i="1"/>
  <c r="W278" i="1"/>
  <c r="Y278" i="1"/>
  <c r="AA278" i="1"/>
  <c r="AC278" i="1"/>
  <c r="X318" i="1"/>
  <c r="Z318" i="1"/>
  <c r="AB318" i="1"/>
  <c r="AD318" i="1"/>
  <c r="W62" i="1"/>
  <c r="Y62" i="1"/>
  <c r="AA62" i="1"/>
  <c r="AC62" i="1"/>
  <c r="X274" i="1"/>
  <c r="Z274" i="1"/>
  <c r="AB274" i="1"/>
  <c r="AD274" i="1"/>
  <c r="X312" i="1"/>
  <c r="Z312" i="1"/>
  <c r="AB312" i="1"/>
  <c r="AD312" i="1"/>
  <c r="X11" i="1"/>
  <c r="Z11" i="1"/>
  <c r="AB11" i="1"/>
  <c r="AD11" i="1"/>
  <c r="W15" i="1"/>
  <c r="Y15" i="1"/>
  <c r="AA15" i="1"/>
  <c r="AC15" i="1"/>
  <c r="X311" i="1"/>
  <c r="Z311" i="1"/>
  <c r="AB311" i="1"/>
  <c r="AD311" i="1"/>
  <c r="W317" i="1"/>
  <c r="Y317" i="1"/>
  <c r="AA317" i="1"/>
  <c r="AC317" i="1"/>
  <c r="W29" i="1"/>
  <c r="Y29" i="1"/>
  <c r="AA29" i="1"/>
  <c r="AC29" i="1"/>
  <c r="W234" i="1"/>
  <c r="Y234" i="1"/>
  <c r="AA234" i="1"/>
  <c r="AC234" i="1"/>
  <c r="X235" i="1"/>
  <c r="Z235" i="1"/>
  <c r="AB235" i="1"/>
  <c r="AD235" i="1"/>
  <c r="W31" i="1"/>
  <c r="Y31" i="1"/>
  <c r="AA31" i="1"/>
  <c r="AC31" i="1"/>
  <c r="W275" i="1"/>
  <c r="Y275" i="1"/>
  <c r="AA275" i="1"/>
  <c r="AC275" i="1"/>
  <c r="W280" i="1"/>
  <c r="Y280" i="1"/>
  <c r="AA280" i="1"/>
  <c r="AC280" i="1"/>
  <c r="X13" i="1"/>
  <c r="Z13" i="1"/>
  <c r="AB13" i="1"/>
  <c r="AD13" i="1"/>
  <c r="X236" i="1"/>
  <c r="Z236" i="1"/>
  <c r="AB236" i="1"/>
  <c r="AD236" i="1"/>
  <c r="X30" i="1"/>
  <c r="Z30" i="1"/>
  <c r="AB30" i="1"/>
  <c r="AD30" i="1"/>
  <c r="W32" i="1"/>
  <c r="Y32" i="1"/>
  <c r="AA32" i="1"/>
  <c r="AC32" i="1"/>
  <c r="W310" i="1"/>
  <c r="Y310" i="1"/>
  <c r="AA310" i="1"/>
  <c r="AC310" i="1"/>
  <c r="X25" i="1"/>
  <c r="Z25" i="1"/>
  <c r="AB25" i="1"/>
  <c r="AD25" i="1"/>
  <c r="X14" i="1"/>
  <c r="Z14" i="1"/>
  <c r="AB14" i="1"/>
  <c r="AD14" i="1"/>
  <c r="W35" i="1"/>
  <c r="Y35" i="1"/>
  <c r="AA35" i="1"/>
  <c r="AC35" i="1"/>
  <c r="X26" i="1"/>
  <c r="Z26" i="1"/>
  <c r="AB26" i="1"/>
  <c r="AD26" i="1"/>
  <c r="W37" i="1"/>
  <c r="Y37" i="1"/>
  <c r="AA37" i="1"/>
  <c r="AC37" i="1"/>
  <c r="X288" i="1"/>
  <c r="Z288" i="1"/>
  <c r="AB288" i="1"/>
  <c r="AD288" i="1"/>
  <c r="X33" i="1"/>
  <c r="Z33" i="1"/>
  <c r="AB33" i="1"/>
  <c r="AD33" i="1"/>
  <c r="W197" i="1"/>
  <c r="Y197" i="1"/>
  <c r="AA197" i="1"/>
  <c r="AC197" i="1"/>
  <c r="W222" i="1"/>
  <c r="Y222" i="1"/>
  <c r="AA222" i="1"/>
  <c r="AC222" i="1"/>
  <c r="X23" i="1"/>
  <c r="Z23" i="1"/>
  <c r="AD23" i="1"/>
  <c r="W48" i="1"/>
  <c r="AA48" i="1"/>
  <c r="Z49" i="1"/>
  <c r="AD49" i="1"/>
  <c r="Z244" i="1"/>
  <c r="AD244" i="1"/>
  <c r="W7" i="1"/>
  <c r="Y7" i="1"/>
  <c r="AA7" i="1"/>
  <c r="AC7" i="1"/>
  <c r="W6" i="1"/>
  <c r="Y6" i="1"/>
  <c r="AA6" i="1"/>
  <c r="AC6" i="1"/>
  <c r="X8" i="1"/>
  <c r="Z8" i="1"/>
  <c r="AB8" i="1"/>
  <c r="AD8" i="1"/>
  <c r="W12" i="1"/>
  <c r="Y12" i="1"/>
  <c r="AA12" i="1"/>
  <c r="AC12" i="1"/>
  <c r="X212" i="1"/>
  <c r="Z212" i="1"/>
  <c r="AB212" i="1"/>
  <c r="AD212" i="1"/>
  <c r="W20" i="1"/>
  <c r="Y20" i="1"/>
  <c r="AA20" i="1"/>
  <c r="AC20" i="1"/>
  <c r="X250" i="1"/>
  <c r="Z250" i="1"/>
  <c r="AB250" i="1"/>
  <c r="AD250" i="1"/>
  <c r="X278" i="1"/>
  <c r="Z278" i="1"/>
  <c r="AB278" i="1"/>
  <c r="AD278" i="1"/>
  <c r="W318" i="1"/>
  <c r="Y318" i="1"/>
  <c r="AA318" i="1"/>
  <c r="AC318" i="1"/>
  <c r="X62" i="1"/>
  <c r="Z62" i="1"/>
  <c r="AB62" i="1"/>
  <c r="AD62" i="1"/>
  <c r="W274" i="1"/>
  <c r="Y274" i="1"/>
  <c r="AA274" i="1"/>
  <c r="AC274" i="1"/>
  <c r="W312" i="1"/>
  <c r="Y312" i="1"/>
  <c r="AA312" i="1"/>
  <c r="AC312" i="1"/>
  <c r="W11" i="1"/>
  <c r="Y11" i="1"/>
  <c r="AA11" i="1"/>
  <c r="AC11" i="1"/>
  <c r="X15" i="1"/>
  <c r="Z15" i="1"/>
  <c r="AB15" i="1"/>
  <c r="AD15" i="1"/>
  <c r="W311" i="1"/>
  <c r="Y311" i="1"/>
  <c r="AA311" i="1"/>
  <c r="AC311" i="1"/>
  <c r="X317" i="1"/>
  <c r="Z317" i="1"/>
  <c r="AB317" i="1"/>
  <c r="AD317" i="1"/>
  <c r="X29" i="1"/>
  <c r="Z29" i="1"/>
  <c r="AB29" i="1"/>
  <c r="AD29" i="1"/>
  <c r="X234" i="1"/>
  <c r="Z234" i="1"/>
  <c r="AB234" i="1"/>
  <c r="AD234" i="1"/>
  <c r="W235" i="1"/>
  <c r="Y235" i="1"/>
  <c r="AA235" i="1"/>
  <c r="AC235" i="1"/>
  <c r="X31" i="1"/>
  <c r="Z31" i="1"/>
  <c r="AB31" i="1"/>
  <c r="AD31" i="1"/>
  <c r="X275" i="1"/>
  <c r="Z275" i="1"/>
  <c r="AB275" i="1"/>
  <c r="AD275" i="1"/>
  <c r="X280" i="1"/>
  <c r="Z280" i="1"/>
  <c r="AB280" i="1"/>
  <c r="AD280" i="1"/>
  <c r="W13" i="1"/>
  <c r="Y13" i="1"/>
  <c r="AA13" i="1"/>
  <c r="AC13" i="1"/>
  <c r="W236" i="1"/>
  <c r="Y236" i="1"/>
  <c r="AA236" i="1"/>
  <c r="AC236" i="1"/>
  <c r="W30" i="1"/>
  <c r="Y30" i="1"/>
  <c r="AA30" i="1"/>
  <c r="AC30" i="1"/>
  <c r="X32" i="1"/>
  <c r="Z32" i="1"/>
  <c r="AB32" i="1"/>
  <c r="AD32" i="1"/>
  <c r="X310" i="1"/>
  <c r="Z310" i="1"/>
  <c r="AB310" i="1"/>
  <c r="AD310" i="1"/>
  <c r="W25" i="1"/>
  <c r="Y25" i="1"/>
  <c r="AA25" i="1"/>
  <c r="AC25" i="1"/>
  <c r="W14" i="1"/>
  <c r="Y14" i="1"/>
  <c r="AA14" i="1"/>
  <c r="AC14" i="1"/>
  <c r="X35" i="1"/>
  <c r="Z35" i="1"/>
  <c r="AB35" i="1"/>
  <c r="AD35" i="1"/>
  <c r="W26" i="1"/>
  <c r="Y26" i="1"/>
  <c r="AA26" i="1"/>
  <c r="AC26" i="1"/>
  <c r="X37" i="1"/>
  <c r="Z37" i="1"/>
  <c r="AB37" i="1"/>
  <c r="AD37" i="1"/>
  <c r="W288" i="1"/>
  <c r="Y288" i="1"/>
  <c r="AA288" i="1"/>
  <c r="AC288" i="1"/>
  <c r="W33" i="1"/>
  <c r="Y33" i="1"/>
  <c r="AA33" i="1"/>
  <c r="AC33" i="1"/>
  <c r="X197" i="1"/>
  <c r="Z197" i="1"/>
  <c r="AB197" i="1"/>
  <c r="AD197" i="1"/>
  <c r="X222" i="1"/>
  <c r="Z222" i="1"/>
  <c r="AB222" i="1"/>
  <c r="AD222" i="1"/>
  <c r="W23" i="1"/>
  <c r="Y23" i="1"/>
  <c r="AB23" i="1"/>
  <c r="Y48" i="1"/>
  <c r="AC48" i="1"/>
  <c r="X49" i="1"/>
  <c r="AB49" i="1"/>
  <c r="X244" i="1"/>
  <c r="AB244" i="1"/>
  <c r="AR3" i="1"/>
  <c r="AT3" i="1"/>
  <c r="AS3" i="1"/>
  <c r="AU3" i="1"/>
  <c r="AH270" i="1" l="1"/>
  <c r="AH181" i="1"/>
  <c r="AJ181" i="1" s="1"/>
  <c r="AH192" i="1"/>
  <c r="AJ192" i="1" s="1"/>
  <c r="AH24" i="1"/>
  <c r="AJ24" i="1" s="1"/>
  <c r="AH214" i="1"/>
  <c r="AJ214" i="1" s="1"/>
  <c r="AH18" i="1"/>
  <c r="AJ18" i="1" s="1"/>
  <c r="AH233" i="1"/>
  <c r="AJ233" i="1" s="1"/>
  <c r="AH124" i="1"/>
  <c r="AI124" i="1" s="1"/>
  <c r="AH130" i="1"/>
  <c r="AH271" i="1"/>
  <c r="AH272" i="1"/>
  <c r="AH225" i="1"/>
  <c r="AH199" i="1"/>
  <c r="AH224" i="1"/>
  <c r="AH196" i="1"/>
  <c r="AH202" i="1"/>
  <c r="AH228" i="1"/>
  <c r="AH229" i="1"/>
  <c r="AH221" i="1"/>
  <c r="AH217" i="1"/>
  <c r="AH226" i="1"/>
  <c r="AH220" i="1"/>
  <c r="AH203" i="1"/>
  <c r="S1615" i="7"/>
  <c r="I2091" i="7"/>
  <c r="L2082" i="7"/>
  <c r="S2082" i="7" s="1"/>
  <c r="AH283" i="1"/>
  <c r="AI283" i="1" s="1"/>
  <c r="AH293" i="1"/>
  <c r="AH299" i="1"/>
  <c r="AH305" i="1"/>
  <c r="AH322" i="1"/>
  <c r="AJ322" i="1" s="1"/>
  <c r="AH219" i="1"/>
  <c r="AI219" i="1" s="1"/>
  <c r="AH282" i="1"/>
  <c r="AH285" i="1"/>
  <c r="AH294" i="1"/>
  <c r="AH300" i="1"/>
  <c r="AH216" i="1"/>
  <c r="AH223" i="1"/>
  <c r="AH227" i="1"/>
  <c r="I1949" i="7"/>
  <c r="AH21" i="1"/>
  <c r="AJ21" i="1" s="1"/>
  <c r="K1654" i="7"/>
  <c r="K1795" i="7" s="1"/>
  <c r="K1563" i="7"/>
  <c r="J758" i="7"/>
  <c r="J1070" i="7" s="1"/>
  <c r="I1795" i="7"/>
  <c r="I1798" i="7" s="1"/>
  <c r="I1799" i="7" s="1"/>
  <c r="K2206" i="7"/>
  <c r="L2107" i="7"/>
  <c r="S2107" i="7" s="1"/>
  <c r="L410" i="7"/>
  <c r="S410" i="7" s="1"/>
  <c r="K434" i="7"/>
  <c r="H1929" i="7"/>
  <c r="L1926" i="7"/>
  <c r="S1926" i="7" s="1"/>
  <c r="K494" i="7"/>
  <c r="L490" i="7"/>
  <c r="S490" i="7" s="1"/>
  <c r="I2462" i="7"/>
  <c r="I2470" i="7" s="1"/>
  <c r="L2460" i="7"/>
  <c r="L2077" i="7"/>
  <c r="S2077" i="7" s="1"/>
  <c r="H2078" i="7"/>
  <c r="L1947" i="7"/>
  <c r="S1947" i="7" s="1"/>
  <c r="L2472" i="7"/>
  <c r="S2472" i="7" s="1"/>
  <c r="I2476" i="7"/>
  <c r="K1157" i="7"/>
  <c r="K1307" i="7" s="1"/>
  <c r="L2043" i="7"/>
  <c r="S2043" i="7" s="1"/>
  <c r="K2050" i="7"/>
  <c r="AH213" i="1"/>
  <c r="AJ213" i="1" s="1"/>
  <c r="AH218" i="1"/>
  <c r="AH256" i="1"/>
  <c r="AI256" i="1" s="1"/>
  <c r="AH307" i="1"/>
  <c r="AH102" i="1"/>
  <c r="AH52" i="1"/>
  <c r="AH281" i="1"/>
  <c r="AH67" i="1"/>
  <c r="AI67" i="1" s="1"/>
  <c r="AH257" i="1"/>
  <c r="AI257" i="1" s="1"/>
  <c r="AH96" i="1"/>
  <c r="AH77" i="1"/>
  <c r="AH304" i="1"/>
  <c r="AJ304" i="1" s="1"/>
  <c r="AH200" i="1"/>
  <c r="AH279" i="1"/>
  <c r="AH277" i="1"/>
  <c r="AH287" i="1"/>
  <c r="AH306" i="1"/>
  <c r="AH215" i="1"/>
  <c r="AH295" i="1"/>
  <c r="AH292" i="1"/>
  <c r="AH313" i="1"/>
  <c r="AI313" i="1" s="1"/>
  <c r="AH319" i="1"/>
  <c r="AI319" i="1" s="1"/>
  <c r="AH323" i="1"/>
  <c r="AH132" i="1"/>
  <c r="AH78" i="1"/>
  <c r="AH59" i="1"/>
  <c r="AH40" i="1"/>
  <c r="AH114" i="1"/>
  <c r="AH19" i="1"/>
  <c r="AH22" i="1"/>
  <c r="AH120" i="1"/>
  <c r="AH83" i="1"/>
  <c r="AH284" i="1"/>
  <c r="AH315" i="1"/>
  <c r="AH58" i="1"/>
  <c r="AH72" i="1"/>
  <c r="AH27" i="1"/>
  <c r="AH144" i="1"/>
  <c r="AH87" i="1"/>
  <c r="AH65" i="1"/>
  <c r="AH74" i="1"/>
  <c r="AH127" i="1"/>
  <c r="AH54" i="1"/>
  <c r="AH92" i="1"/>
  <c r="AH69" i="1"/>
  <c r="AH73" i="1"/>
  <c r="AH47" i="1"/>
  <c r="AH9" i="1"/>
  <c r="AH240" i="1"/>
  <c r="AJ240" i="1" s="1"/>
  <c r="AH185" i="1"/>
  <c r="AJ185" i="1" s="1"/>
  <c r="AH48" i="1"/>
  <c r="AJ48" i="1" s="1"/>
  <c r="AH49" i="1"/>
  <c r="AJ49" i="1" s="1"/>
  <c r="AH131" i="1"/>
  <c r="AH90" i="1"/>
  <c r="AI90" i="1" s="1"/>
  <c r="AH198" i="1"/>
  <c r="AI198" i="1" s="1"/>
  <c r="AH147" i="1"/>
  <c r="AI147" i="1" s="1"/>
  <c r="AH253" i="1"/>
  <c r="AI253" i="1" s="1"/>
  <c r="AH104" i="1"/>
  <c r="AJ104" i="1" s="1"/>
  <c r="AH63" i="1"/>
  <c r="AJ63" i="1" s="1"/>
  <c r="AH243" i="1"/>
  <c r="AJ243" i="1" s="1"/>
  <c r="AH258" i="1"/>
  <c r="AI258" i="1" s="1"/>
  <c r="AH260" i="1"/>
  <c r="AJ260" i="1" s="1"/>
  <c r="AH159" i="1"/>
  <c r="AJ159" i="1" s="1"/>
  <c r="AH170" i="1"/>
  <c r="AJ170" i="1" s="1"/>
  <c r="AH268" i="1"/>
  <c r="AJ268" i="1" s="1"/>
  <c r="AH183" i="1"/>
  <c r="AH84" i="1"/>
  <c r="AI84" i="1" s="1"/>
  <c r="AH153" i="1"/>
  <c r="AJ153" i="1" s="1"/>
  <c r="AH262" i="1"/>
  <c r="AI262" i="1" s="1"/>
  <c r="AH266" i="1"/>
  <c r="AJ266" i="1" s="1"/>
  <c r="AH155" i="1"/>
  <c r="AI155" i="1" s="1"/>
  <c r="AH267" i="1"/>
  <c r="AJ267" i="1" s="1"/>
  <c r="AH174" i="1"/>
  <c r="AI174" i="1" s="1"/>
  <c r="AH175" i="1"/>
  <c r="AJ175" i="1" s="1"/>
  <c r="AH156" i="1"/>
  <c r="AJ156" i="1" s="1"/>
  <c r="AH70" i="1"/>
  <c r="AJ70" i="1" s="1"/>
  <c r="AH169" i="1"/>
  <c r="AJ169" i="1" s="1"/>
  <c r="AH157" i="1"/>
  <c r="AI157" i="1" s="1"/>
  <c r="AH187" i="1"/>
  <c r="AJ187" i="1" s="1"/>
  <c r="AH167" i="1"/>
  <c r="AJ167" i="1" s="1"/>
  <c r="AH210" i="1"/>
  <c r="AI210" i="1" s="1"/>
  <c r="AH209" i="1"/>
  <c r="AI209" i="1" s="1"/>
  <c r="AH190" i="1"/>
  <c r="AI190" i="1" s="1"/>
  <c r="AH162" i="1"/>
  <c r="AJ162" i="1" s="1"/>
  <c r="AH180" i="1"/>
  <c r="AI180" i="1" s="1"/>
  <c r="AH182" i="1"/>
  <c r="AJ182" i="1" s="1"/>
  <c r="AH179" i="1"/>
  <c r="AH173" i="1"/>
  <c r="AJ173" i="1" s="1"/>
  <c r="AH301" i="1"/>
  <c r="AJ301" i="1" s="1"/>
  <c r="AH14" i="1"/>
  <c r="AJ14" i="1" s="1"/>
  <c r="AH311" i="1"/>
  <c r="AI311" i="1" s="1"/>
  <c r="AH242" i="1"/>
  <c r="AJ242" i="1" s="1"/>
  <c r="AH16" i="1"/>
  <c r="AI16" i="1" s="1"/>
  <c r="AH230" i="1"/>
  <c r="AJ230" i="1" s="1"/>
  <c r="AH135" i="1"/>
  <c r="AI135" i="1" s="1"/>
  <c r="AH188" i="1"/>
  <c r="AJ188" i="1" s="1"/>
  <c r="AH158" i="1"/>
  <c r="AI158" i="1" s="1"/>
  <c r="AH62" i="1"/>
  <c r="AH238" i="1"/>
  <c r="AH146" i="1"/>
  <c r="AH172" i="1"/>
  <c r="AH239" i="1"/>
  <c r="AH110" i="1"/>
  <c r="AH149" i="1"/>
  <c r="AH296" i="1"/>
  <c r="AH76" i="1"/>
  <c r="AH115" i="1"/>
  <c r="AH79" i="1"/>
  <c r="AH51" i="1"/>
  <c r="AH129" i="1"/>
  <c r="AH160" i="1"/>
  <c r="AH145" i="1"/>
  <c r="AH206" i="1"/>
  <c r="AH208" i="1"/>
  <c r="AH207" i="1"/>
  <c r="AI207" i="1" s="1"/>
  <c r="AH94" i="1"/>
  <c r="AH103" i="1"/>
  <c r="AH265" i="1"/>
  <c r="AH309" i="1"/>
  <c r="AH111" i="1"/>
  <c r="AH112" i="1"/>
  <c r="AH136" i="1"/>
  <c r="AH246" i="1"/>
  <c r="AH249" i="1"/>
  <c r="AH177" i="1"/>
  <c r="AH248" i="1"/>
  <c r="AH123" i="1"/>
  <c r="AH255" i="1"/>
  <c r="AH105" i="1"/>
  <c r="AH122" i="1"/>
  <c r="AH137" i="1"/>
  <c r="AH56" i="1"/>
  <c r="AH109" i="1"/>
  <c r="AH61" i="1"/>
  <c r="AH125" i="1"/>
  <c r="AH237" i="1"/>
  <c r="AH121" i="1"/>
  <c r="AH141" i="1"/>
  <c r="AH303" i="1"/>
  <c r="AH189" i="1"/>
  <c r="AH151" i="1"/>
  <c r="AH12" i="1"/>
  <c r="AH165" i="1"/>
  <c r="AH276" i="1"/>
  <c r="AH64" i="1"/>
  <c r="AH290" i="1"/>
  <c r="AH138" i="1"/>
  <c r="AH85" i="1"/>
  <c r="AH93" i="1"/>
  <c r="AH55" i="1"/>
  <c r="AH204" i="1"/>
  <c r="AI204" i="1" s="1"/>
  <c r="AH134" i="1"/>
  <c r="AI134" i="1" s="1"/>
  <c r="AH68" i="1"/>
  <c r="AH291" i="1"/>
  <c r="AH164" i="1"/>
  <c r="AH80" i="1"/>
  <c r="AH247" i="1"/>
  <c r="AH152" i="1"/>
  <c r="AH148" i="1"/>
  <c r="AH150" i="1"/>
  <c r="AH143" i="1"/>
  <c r="AH53" i="1"/>
  <c r="AH101" i="1"/>
  <c r="AH113" i="1"/>
  <c r="AH100" i="1"/>
  <c r="AH259" i="1"/>
  <c r="AH251" i="1"/>
  <c r="AH252" i="1"/>
  <c r="AH140" i="1"/>
  <c r="AH166" i="1"/>
  <c r="AH142" i="1"/>
  <c r="AH60" i="1"/>
  <c r="AH95" i="1"/>
  <c r="AH321" i="1"/>
  <c r="AH302" i="1"/>
  <c r="AH139" i="1"/>
  <c r="AH254" i="1"/>
  <c r="AH308" i="1"/>
  <c r="AH38" i="1"/>
  <c r="AH41" i="1"/>
  <c r="AH99" i="1"/>
  <c r="AH89" i="1"/>
  <c r="AH57" i="1"/>
  <c r="AH264" i="1"/>
  <c r="AH191" i="1"/>
  <c r="AH186" i="1"/>
  <c r="AH176" i="1"/>
  <c r="AH91" i="1"/>
  <c r="AH244" i="1"/>
  <c r="AH288" i="1"/>
  <c r="AH26" i="1"/>
  <c r="AH25" i="1"/>
  <c r="AH236" i="1"/>
  <c r="AH235" i="1"/>
  <c r="AH11" i="1"/>
  <c r="AH274" i="1"/>
  <c r="AH318" i="1"/>
  <c r="AH20" i="1"/>
  <c r="AH37" i="1"/>
  <c r="AH31" i="1"/>
  <c r="AH29" i="1"/>
  <c r="AH278" i="1"/>
  <c r="AH250" i="1"/>
  <c r="AH212" i="1"/>
  <c r="AH8" i="1"/>
  <c r="AH241" i="1"/>
  <c r="AH39" i="1"/>
  <c r="AH75" i="1"/>
  <c r="AH42" i="1"/>
  <c r="AH98" i="1"/>
  <c r="AH201" i="1"/>
  <c r="AH36" i="1"/>
  <c r="AH320" i="1"/>
  <c r="AH45" i="1"/>
  <c r="AH46" i="1"/>
  <c r="AH97" i="1"/>
  <c r="AH28" i="1"/>
  <c r="AH324" i="1"/>
  <c r="AH82" i="1"/>
  <c r="AH17" i="1"/>
  <c r="AH10" i="1"/>
  <c r="AH107" i="1"/>
  <c r="AH108" i="1"/>
  <c r="AH117" i="1"/>
  <c r="AH178" i="1"/>
  <c r="AH261" i="1"/>
  <c r="AH161" i="1"/>
  <c r="AH171" i="1"/>
  <c r="AH154" i="1"/>
  <c r="AH193" i="1"/>
  <c r="AH184" i="1"/>
  <c r="AH194" i="1"/>
  <c r="AH33" i="1"/>
  <c r="AH30" i="1"/>
  <c r="AH13" i="1"/>
  <c r="AH312" i="1"/>
  <c r="AH6" i="1"/>
  <c r="AH7" i="1"/>
  <c r="AH197" i="1"/>
  <c r="AH32" i="1"/>
  <c r="AH275" i="1"/>
  <c r="AH234" i="1"/>
  <c r="AH317" i="1"/>
  <c r="AH15" i="1"/>
  <c r="AH34" i="1"/>
  <c r="AH106" i="1"/>
  <c r="AH88" i="1"/>
  <c r="AH43" i="1"/>
  <c r="AH245" i="1"/>
  <c r="AH50" i="1"/>
  <c r="AH205" i="1"/>
  <c r="AH119" i="1"/>
  <c r="AH297" i="1"/>
  <c r="AH86" i="1"/>
  <c r="AH263" i="1"/>
  <c r="AH44" i="1"/>
  <c r="AH128" i="1"/>
  <c r="AH163" i="1"/>
  <c r="AH286" i="1"/>
  <c r="AH66" i="1"/>
  <c r="AH116" i="1"/>
  <c r="AH133" i="1"/>
  <c r="AH231" i="1"/>
  <c r="AH118" i="1"/>
  <c r="AH298" i="1"/>
  <c r="AH168" i="1"/>
  <c r="AI168" i="1" s="1"/>
  <c r="AH126" i="1"/>
  <c r="AH314" i="1"/>
  <c r="AH81" i="1"/>
  <c r="AH71" i="1"/>
  <c r="AH289" i="1"/>
  <c r="AH23" i="1"/>
  <c r="AH280" i="1"/>
  <c r="AJ280" i="1" s="1"/>
  <c r="AH222" i="1"/>
  <c r="AI222" i="1" s="1"/>
  <c r="AH35" i="1"/>
  <c r="AI35" i="1" s="1"/>
  <c r="AH310" i="1"/>
  <c r="AJ310" i="1" s="1"/>
  <c r="AI270" i="1" l="1"/>
  <c r="AJ270" i="1"/>
  <c r="AI181" i="1"/>
  <c r="AI192" i="1"/>
  <c r="AI24" i="1"/>
  <c r="AI214" i="1"/>
  <c r="AI18" i="1"/>
  <c r="AI233" i="1"/>
  <c r="K1798" i="7"/>
  <c r="J1798" i="7"/>
  <c r="J1799" i="7" s="1"/>
  <c r="J2485" i="7" s="1"/>
  <c r="I2477" i="7"/>
  <c r="L2470" i="7"/>
  <c r="AI130" i="1"/>
  <c r="AJ130" i="1"/>
  <c r="AJ272" i="1"/>
  <c r="AI272" i="1"/>
  <c r="AI271" i="1"/>
  <c r="AJ271" i="1"/>
  <c r="AI225" i="1"/>
  <c r="AJ225" i="1"/>
  <c r="AJ219" i="1"/>
  <c r="AI217" i="1"/>
  <c r="AJ217" i="1"/>
  <c r="AI21" i="1"/>
  <c r="AI322" i="1"/>
  <c r="AJ203" i="1"/>
  <c r="AI203" i="1"/>
  <c r="AI228" i="1"/>
  <c r="AJ228" i="1"/>
  <c r="AJ199" i="1"/>
  <c r="AI199" i="1"/>
  <c r="AI229" i="1"/>
  <c r="AJ229" i="1"/>
  <c r="AJ220" i="1"/>
  <c r="AI220" i="1"/>
  <c r="AJ221" i="1"/>
  <c r="AI221" i="1"/>
  <c r="AJ202" i="1"/>
  <c r="AI202" i="1"/>
  <c r="AJ224" i="1"/>
  <c r="AI224" i="1"/>
  <c r="AJ226" i="1"/>
  <c r="AI226" i="1"/>
  <c r="AI196" i="1"/>
  <c r="AJ196" i="1"/>
  <c r="S1625" i="7"/>
  <c r="AJ283" i="1"/>
  <c r="AI305" i="1"/>
  <c r="AJ305" i="1"/>
  <c r="AJ293" i="1"/>
  <c r="AI293" i="1"/>
  <c r="AJ299" i="1"/>
  <c r="AI299" i="1"/>
  <c r="AI227" i="1"/>
  <c r="AJ227" i="1"/>
  <c r="AI216" i="1"/>
  <c r="AJ216" i="1"/>
  <c r="AJ294" i="1"/>
  <c r="AI294" i="1"/>
  <c r="AI282" i="1"/>
  <c r="AJ282" i="1"/>
  <c r="AI223" i="1"/>
  <c r="AJ223" i="1"/>
  <c r="AJ300" i="1"/>
  <c r="AI300" i="1"/>
  <c r="AI285" i="1"/>
  <c r="AJ285" i="1"/>
  <c r="L1654" i="7"/>
  <c r="S1654" i="7" s="1"/>
  <c r="K726" i="7"/>
  <c r="L758" i="7"/>
  <c r="S758" i="7" s="1"/>
  <c r="K2426" i="7"/>
  <c r="L2206" i="7"/>
  <c r="S2206" i="7" s="1"/>
  <c r="L434" i="7"/>
  <c r="S434" i="7" s="1"/>
  <c r="H1949" i="7"/>
  <c r="L1929" i="7"/>
  <c r="S1929" i="7" s="1"/>
  <c r="L494" i="7"/>
  <c r="S494" i="7" s="1"/>
  <c r="L2462" i="7"/>
  <c r="S2462" i="7" s="1"/>
  <c r="L1563" i="7"/>
  <c r="S1563" i="7" s="1"/>
  <c r="L2078" i="7"/>
  <c r="S2078" i="7" s="1"/>
  <c r="H2091" i="7"/>
  <c r="L1948" i="7"/>
  <c r="S1948" i="7" s="1"/>
  <c r="G1949" i="7"/>
  <c r="L2476" i="7"/>
  <c r="S2476" i="7" s="1"/>
  <c r="L1157" i="7"/>
  <c r="S1157" i="7" s="1"/>
  <c r="AJ256" i="1"/>
  <c r="AI213" i="1"/>
  <c r="AI218" i="1"/>
  <c r="AJ218" i="1"/>
  <c r="AI307" i="1"/>
  <c r="AJ307" i="1"/>
  <c r="AI102" i="1"/>
  <c r="AJ102" i="1"/>
  <c r="AJ281" i="1"/>
  <c r="AI281" i="1"/>
  <c r="AJ52" i="1"/>
  <c r="AI52" i="1"/>
  <c r="AJ67" i="1"/>
  <c r="AJ257" i="1"/>
  <c r="AI77" i="1"/>
  <c r="AJ77" i="1"/>
  <c r="AI96" i="1"/>
  <c r="AJ96" i="1"/>
  <c r="AI304" i="1"/>
  <c r="AJ279" i="1"/>
  <c r="AI279" i="1"/>
  <c r="AI306" i="1"/>
  <c r="AJ306" i="1"/>
  <c r="AI292" i="1"/>
  <c r="AJ292" i="1"/>
  <c r="AI287" i="1"/>
  <c r="AJ287" i="1"/>
  <c r="AJ200" i="1"/>
  <c r="AI200" i="1"/>
  <c r="AI215" i="1"/>
  <c r="AJ215" i="1"/>
  <c r="AJ295" i="1"/>
  <c r="AI295" i="1"/>
  <c r="AI277" i="1"/>
  <c r="AJ277" i="1"/>
  <c r="AJ313" i="1"/>
  <c r="AJ319" i="1"/>
  <c r="AI323" i="1"/>
  <c r="AJ323" i="1"/>
  <c r="AI315" i="1"/>
  <c r="AJ315" i="1"/>
  <c r="AI284" i="1"/>
  <c r="AJ284" i="1"/>
  <c r="AI22" i="1"/>
  <c r="AJ22" i="1"/>
  <c r="AI19" i="1"/>
  <c r="AJ19" i="1"/>
  <c r="AJ59" i="1"/>
  <c r="AI59" i="1"/>
  <c r="AJ83" i="1"/>
  <c r="AI83" i="1"/>
  <c r="AI114" i="1"/>
  <c r="AJ114" i="1"/>
  <c r="AJ78" i="1"/>
  <c r="AI78" i="1"/>
  <c r="AI40" i="1"/>
  <c r="AJ40" i="1"/>
  <c r="AI120" i="1"/>
  <c r="AJ120" i="1"/>
  <c r="AJ132" i="1"/>
  <c r="AI132" i="1"/>
  <c r="AI127" i="1"/>
  <c r="AJ127" i="1"/>
  <c r="AI144" i="1"/>
  <c r="AJ144" i="1"/>
  <c r="AI92" i="1"/>
  <c r="AJ92" i="1"/>
  <c r="AI74" i="1"/>
  <c r="AJ74" i="1"/>
  <c r="AI27" i="1"/>
  <c r="AJ27" i="1"/>
  <c r="AI69" i="1"/>
  <c r="AJ69" i="1"/>
  <c r="AI87" i="1"/>
  <c r="AJ87" i="1"/>
  <c r="AI73" i="1"/>
  <c r="AJ73" i="1"/>
  <c r="AI58" i="1"/>
  <c r="AJ58" i="1"/>
  <c r="AI54" i="1"/>
  <c r="AJ54" i="1"/>
  <c r="AI72" i="1"/>
  <c r="AJ72" i="1"/>
  <c r="AJ65" i="1"/>
  <c r="AI65" i="1"/>
  <c r="AJ209" i="1"/>
  <c r="AJ210" i="1"/>
  <c r="AJ204" i="1"/>
  <c r="AJ134" i="1"/>
  <c r="AI240" i="1"/>
  <c r="AJ168" i="1"/>
  <c r="AI208" i="1"/>
  <c r="AJ208" i="1"/>
  <c r="AJ207" i="1"/>
  <c r="AI9" i="1"/>
  <c r="AJ9" i="1"/>
  <c r="AI47" i="1"/>
  <c r="AJ47" i="1"/>
  <c r="AI173" i="1"/>
  <c r="AJ147" i="1"/>
  <c r="AJ258" i="1"/>
  <c r="AJ198" i="1"/>
  <c r="AI182" i="1"/>
  <c r="AI49" i="1"/>
  <c r="AI267" i="1"/>
  <c r="AI170" i="1"/>
  <c r="AI185" i="1"/>
  <c r="AI104" i="1"/>
  <c r="AJ157" i="1"/>
  <c r="AI242" i="1"/>
  <c r="AJ90" i="1"/>
  <c r="AI48" i="1"/>
  <c r="AJ135" i="1"/>
  <c r="AJ253" i="1"/>
  <c r="AI153" i="1"/>
  <c r="AJ158" i="1"/>
  <c r="AJ124" i="1"/>
  <c r="AI167" i="1"/>
  <c r="AJ311" i="1"/>
  <c r="AI260" i="1"/>
  <c r="AJ174" i="1"/>
  <c r="AI169" i="1"/>
  <c r="AI162" i="1"/>
  <c r="AI301" i="1"/>
  <c r="AJ262" i="1"/>
  <c r="AI268" i="1"/>
  <c r="AJ180" i="1"/>
  <c r="AJ155" i="1"/>
  <c r="AI70" i="1"/>
  <c r="AI243" i="1"/>
  <c r="AI266" i="1"/>
  <c r="AI156" i="1"/>
  <c r="AJ183" i="1"/>
  <c r="AI183" i="1"/>
  <c r="AJ222" i="1"/>
  <c r="AI187" i="1"/>
  <c r="AI175" i="1"/>
  <c r="AI159" i="1"/>
  <c r="AI14" i="1"/>
  <c r="AI230" i="1"/>
  <c r="AI63" i="1"/>
  <c r="AI131" i="1"/>
  <c r="AJ131" i="1"/>
  <c r="AJ16" i="1"/>
  <c r="AJ84" i="1"/>
  <c r="AJ190" i="1"/>
  <c r="AJ179" i="1"/>
  <c r="AI179" i="1"/>
  <c r="AI310" i="1"/>
  <c r="AI280" i="1"/>
  <c r="AI188" i="1"/>
  <c r="AI289" i="1"/>
  <c r="AJ289" i="1"/>
  <c r="AI126" i="1"/>
  <c r="AJ126" i="1"/>
  <c r="AJ133" i="1"/>
  <c r="AI133" i="1"/>
  <c r="AJ119" i="1"/>
  <c r="AI119" i="1"/>
  <c r="AJ15" i="1"/>
  <c r="AI15" i="1"/>
  <c r="AJ6" i="1"/>
  <c r="AI6" i="1"/>
  <c r="AJ13" i="1"/>
  <c r="AI13" i="1"/>
  <c r="AJ97" i="1"/>
  <c r="AI97" i="1"/>
  <c r="AJ31" i="1"/>
  <c r="AI31" i="1"/>
  <c r="AJ274" i="1"/>
  <c r="AI274" i="1"/>
  <c r="AJ26" i="1"/>
  <c r="AI26" i="1"/>
  <c r="AJ321" i="1"/>
  <c r="AI321" i="1"/>
  <c r="AJ85" i="1"/>
  <c r="AI85" i="1"/>
  <c r="AI189" i="1"/>
  <c r="AJ189" i="1"/>
  <c r="AJ249" i="1"/>
  <c r="AI249" i="1"/>
  <c r="AJ265" i="1"/>
  <c r="AI265" i="1"/>
  <c r="AJ145" i="1"/>
  <c r="AI145" i="1"/>
  <c r="AI149" i="1"/>
  <c r="AJ149" i="1"/>
  <c r="AI71" i="1"/>
  <c r="AJ71" i="1"/>
  <c r="AI118" i="1"/>
  <c r="AJ118" i="1"/>
  <c r="AJ128" i="1"/>
  <c r="AI128" i="1"/>
  <c r="AI205" i="1"/>
  <c r="AJ205" i="1"/>
  <c r="AI106" i="1"/>
  <c r="AJ106" i="1"/>
  <c r="AI32" i="1"/>
  <c r="AJ32" i="1"/>
  <c r="AI30" i="1"/>
  <c r="AJ30" i="1"/>
  <c r="AJ10" i="1"/>
  <c r="AI10" i="1"/>
  <c r="AJ46" i="1"/>
  <c r="AI46" i="1"/>
  <c r="AI320" i="1"/>
  <c r="AJ320" i="1"/>
  <c r="AJ42" i="1"/>
  <c r="AI42" i="1"/>
  <c r="AI212" i="1"/>
  <c r="AJ212" i="1"/>
  <c r="AJ11" i="1"/>
  <c r="AI11" i="1"/>
  <c r="AJ176" i="1"/>
  <c r="AI176" i="1"/>
  <c r="AJ95" i="1"/>
  <c r="AI95" i="1"/>
  <c r="AI140" i="1"/>
  <c r="AJ140" i="1"/>
  <c r="AI259" i="1"/>
  <c r="AJ259" i="1"/>
  <c r="AI150" i="1"/>
  <c r="AJ150" i="1"/>
  <c r="AJ55" i="1"/>
  <c r="AI55" i="1"/>
  <c r="AI290" i="1"/>
  <c r="AJ290" i="1"/>
  <c r="AI303" i="1"/>
  <c r="AJ303" i="1"/>
  <c r="AJ121" i="1"/>
  <c r="AI121" i="1"/>
  <c r="AI61" i="1"/>
  <c r="AJ61" i="1"/>
  <c r="AJ137" i="1"/>
  <c r="AI137" i="1"/>
  <c r="AI123" i="1"/>
  <c r="AJ123" i="1"/>
  <c r="AI246" i="1"/>
  <c r="AJ246" i="1"/>
  <c r="AI112" i="1"/>
  <c r="AJ112" i="1"/>
  <c r="AI103" i="1"/>
  <c r="AJ103" i="1"/>
  <c r="AI172" i="1"/>
  <c r="AJ172" i="1"/>
  <c r="AJ23" i="1"/>
  <c r="AI23" i="1"/>
  <c r="AI81" i="1"/>
  <c r="AJ81" i="1"/>
  <c r="AI298" i="1"/>
  <c r="AJ298" i="1"/>
  <c r="AI231" i="1"/>
  <c r="AJ231" i="1"/>
  <c r="AJ66" i="1"/>
  <c r="AI66" i="1"/>
  <c r="AI44" i="1"/>
  <c r="AJ44" i="1"/>
  <c r="AJ86" i="1"/>
  <c r="AI86" i="1"/>
  <c r="AJ50" i="1"/>
  <c r="AI50" i="1"/>
  <c r="AI43" i="1"/>
  <c r="AJ43" i="1"/>
  <c r="AJ34" i="1"/>
  <c r="AI34" i="1"/>
  <c r="AJ234" i="1"/>
  <c r="AI234" i="1"/>
  <c r="AJ197" i="1"/>
  <c r="AI197" i="1"/>
  <c r="AJ312" i="1"/>
  <c r="AI312" i="1"/>
  <c r="AJ194" i="1"/>
  <c r="AI194" i="1"/>
  <c r="AJ193" i="1"/>
  <c r="AI193" i="1"/>
  <c r="AJ161" i="1"/>
  <c r="AI161" i="1"/>
  <c r="AJ117" i="1"/>
  <c r="AI117" i="1"/>
  <c r="AJ17" i="1"/>
  <c r="AI17" i="1"/>
  <c r="AI324" i="1"/>
  <c r="AJ324" i="1"/>
  <c r="AJ98" i="1"/>
  <c r="AI98" i="1"/>
  <c r="AI75" i="1"/>
  <c r="AJ75" i="1"/>
  <c r="AJ8" i="1"/>
  <c r="AI8" i="1"/>
  <c r="AJ250" i="1"/>
  <c r="AI250" i="1"/>
  <c r="AJ29" i="1"/>
  <c r="AI29" i="1"/>
  <c r="AI20" i="1"/>
  <c r="AJ20" i="1"/>
  <c r="AI236" i="1"/>
  <c r="AJ236" i="1"/>
  <c r="AJ244" i="1"/>
  <c r="AI244" i="1"/>
  <c r="AI186" i="1"/>
  <c r="AJ186" i="1"/>
  <c r="AI57" i="1"/>
  <c r="AJ57" i="1"/>
  <c r="AJ38" i="1"/>
  <c r="AI38" i="1"/>
  <c r="AJ139" i="1"/>
  <c r="AI139" i="1"/>
  <c r="AI100" i="1"/>
  <c r="AJ100" i="1"/>
  <c r="AJ53" i="1"/>
  <c r="AI53" i="1"/>
  <c r="AI164" i="1"/>
  <c r="AJ164" i="1"/>
  <c r="AJ68" i="1"/>
  <c r="AI68" i="1"/>
  <c r="AJ138" i="1"/>
  <c r="AI138" i="1"/>
  <c r="AJ64" i="1"/>
  <c r="AI64" i="1"/>
  <c r="AI165" i="1"/>
  <c r="AJ165" i="1"/>
  <c r="AI141" i="1"/>
  <c r="AJ141" i="1"/>
  <c r="AI237" i="1"/>
  <c r="AJ237" i="1"/>
  <c r="AI109" i="1"/>
  <c r="AJ109" i="1"/>
  <c r="AJ122" i="1"/>
  <c r="AI122" i="1"/>
  <c r="AJ248" i="1"/>
  <c r="AI248" i="1"/>
  <c r="AJ111" i="1"/>
  <c r="AI111" i="1"/>
  <c r="AI160" i="1"/>
  <c r="AJ160" i="1"/>
  <c r="AI51" i="1"/>
  <c r="AJ51" i="1"/>
  <c r="AI76" i="1"/>
  <c r="AJ76" i="1"/>
  <c r="AI110" i="1"/>
  <c r="AJ110" i="1"/>
  <c r="AJ146" i="1"/>
  <c r="AI146" i="1"/>
  <c r="AJ163" i="1"/>
  <c r="AI163" i="1"/>
  <c r="AJ263" i="1"/>
  <c r="AI263" i="1"/>
  <c r="AJ88" i="1"/>
  <c r="AI88" i="1"/>
  <c r="AJ275" i="1"/>
  <c r="AI275" i="1"/>
  <c r="AI154" i="1"/>
  <c r="AJ154" i="1"/>
  <c r="AI178" i="1"/>
  <c r="AJ178" i="1"/>
  <c r="AI107" i="1"/>
  <c r="AJ107" i="1"/>
  <c r="AJ82" i="1"/>
  <c r="AI82" i="1"/>
  <c r="AJ45" i="1"/>
  <c r="AI45" i="1"/>
  <c r="AJ201" i="1"/>
  <c r="AI201" i="1"/>
  <c r="AI241" i="1"/>
  <c r="AJ241" i="1"/>
  <c r="AI91" i="1"/>
  <c r="AJ91" i="1"/>
  <c r="AJ41" i="1"/>
  <c r="AI41" i="1"/>
  <c r="AI308" i="1"/>
  <c r="AJ308" i="1"/>
  <c r="AJ142" i="1"/>
  <c r="AI142" i="1"/>
  <c r="AJ251" i="1"/>
  <c r="AI251" i="1"/>
  <c r="AJ101" i="1"/>
  <c r="AI101" i="1"/>
  <c r="AJ152" i="1"/>
  <c r="AI152" i="1"/>
  <c r="AI125" i="1"/>
  <c r="AJ125" i="1"/>
  <c r="AI56" i="1"/>
  <c r="AJ56" i="1"/>
  <c r="AJ255" i="1"/>
  <c r="AI255" i="1"/>
  <c r="AJ94" i="1"/>
  <c r="AI94" i="1"/>
  <c r="AJ115" i="1"/>
  <c r="AI115" i="1"/>
  <c r="AI116" i="1"/>
  <c r="AJ116" i="1"/>
  <c r="AJ245" i="1"/>
  <c r="AI245" i="1"/>
  <c r="AI317" i="1"/>
  <c r="AJ317" i="1"/>
  <c r="AJ288" i="1"/>
  <c r="AI288" i="1"/>
  <c r="AJ264" i="1"/>
  <c r="AI264" i="1"/>
  <c r="AJ254" i="1"/>
  <c r="AI254" i="1"/>
  <c r="AI247" i="1"/>
  <c r="AJ247" i="1"/>
  <c r="AJ35" i="1"/>
  <c r="AI314" i="1"/>
  <c r="AJ314" i="1"/>
  <c r="AI286" i="1"/>
  <c r="AJ286" i="1"/>
  <c r="AI297" i="1"/>
  <c r="AJ297" i="1"/>
  <c r="AJ7" i="1"/>
  <c r="AI7" i="1"/>
  <c r="AJ33" i="1"/>
  <c r="AI33" i="1"/>
  <c r="AI184" i="1"/>
  <c r="AJ184" i="1"/>
  <c r="AJ171" i="1"/>
  <c r="AI171" i="1"/>
  <c r="AI261" i="1"/>
  <c r="AJ261" i="1"/>
  <c r="AJ108" i="1"/>
  <c r="AI108" i="1"/>
  <c r="AJ28" i="1"/>
  <c r="AI28" i="1"/>
  <c r="AI36" i="1"/>
  <c r="AJ36" i="1"/>
  <c r="AJ39" i="1"/>
  <c r="AI39" i="1"/>
  <c r="AJ278" i="1"/>
  <c r="AI278" i="1"/>
  <c r="AI37" i="1"/>
  <c r="AJ37" i="1"/>
  <c r="AJ318" i="1"/>
  <c r="AI318" i="1"/>
  <c r="AJ235" i="1"/>
  <c r="AI235" i="1"/>
  <c r="AJ25" i="1"/>
  <c r="AI25" i="1"/>
  <c r="AJ191" i="1"/>
  <c r="AI191" i="1"/>
  <c r="AI89" i="1"/>
  <c r="AJ89" i="1"/>
  <c r="AJ99" i="1"/>
  <c r="AI99" i="1"/>
  <c r="AJ302" i="1"/>
  <c r="AI302" i="1"/>
  <c r="AJ60" i="1"/>
  <c r="AI60" i="1"/>
  <c r="AI166" i="1"/>
  <c r="AJ166" i="1"/>
  <c r="AI252" i="1"/>
  <c r="AJ252" i="1"/>
  <c r="AI113" i="1"/>
  <c r="AJ113" i="1"/>
  <c r="AI143" i="1"/>
  <c r="AJ143" i="1"/>
  <c r="AI148" i="1"/>
  <c r="AJ148" i="1"/>
  <c r="AI80" i="1"/>
  <c r="AJ80" i="1"/>
  <c r="AI291" i="1"/>
  <c r="AJ291" i="1"/>
  <c r="AJ93" i="1"/>
  <c r="AI93" i="1"/>
  <c r="AI276" i="1"/>
  <c r="AJ276" i="1"/>
  <c r="AJ12" i="1"/>
  <c r="AI12" i="1"/>
  <c r="AJ151" i="1"/>
  <c r="AI151" i="1"/>
  <c r="AI105" i="1"/>
  <c r="AJ105" i="1"/>
  <c r="AJ177" i="1"/>
  <c r="AI177" i="1"/>
  <c r="AI136" i="1"/>
  <c r="AJ136" i="1"/>
  <c r="AJ309" i="1"/>
  <c r="AI309" i="1"/>
  <c r="AI206" i="1"/>
  <c r="AJ206" i="1"/>
  <c r="AI129" i="1"/>
  <c r="AJ129" i="1"/>
  <c r="AI79" i="1"/>
  <c r="AJ79" i="1"/>
  <c r="AI296" i="1"/>
  <c r="AJ296" i="1"/>
  <c r="AI239" i="1"/>
  <c r="AJ239" i="1"/>
  <c r="AI238" i="1"/>
  <c r="AJ238" i="1"/>
  <c r="AI62" i="1"/>
  <c r="AJ62" i="1"/>
  <c r="H2485" i="7" l="1"/>
  <c r="L726" i="7"/>
  <c r="K1799" i="7"/>
  <c r="K2485" i="7" s="1"/>
  <c r="L2477" i="7"/>
  <c r="S2470" i="7"/>
  <c r="S2477" i="7" s="1"/>
  <c r="L1070" i="7"/>
  <c r="L1795" i="7"/>
  <c r="S1795" i="7" s="1"/>
  <c r="L2426" i="7"/>
  <c r="S2426" i="7" s="1"/>
  <c r="L2091" i="7"/>
  <c r="S2091" i="7" s="1"/>
  <c r="L1949" i="7"/>
  <c r="S1949" i="7" s="1"/>
  <c r="L1307" i="7"/>
  <c r="S1307" i="7" s="1"/>
  <c r="S1070" i="7" l="1"/>
  <c r="L1798" i="7"/>
  <c r="S1798" i="7" s="1"/>
  <c r="S726" i="7"/>
  <c r="L1976" i="7"/>
  <c r="G2033" i="7"/>
  <c r="L2032" i="7"/>
  <c r="L1799" i="7" l="1"/>
  <c r="S1799" i="7" s="1"/>
  <c r="G2050" i="7"/>
  <c r="G2485" i="7" s="1"/>
  <c r="I2033" i="7" l="1"/>
  <c r="I2050" i="7" l="1"/>
  <c r="I2485" i="7" s="1"/>
  <c r="L2033" i="7"/>
  <c r="L2050" i="7" l="1"/>
  <c r="L2485" i="7" s="1"/>
  <c r="S2033" i="7"/>
  <c r="S2050" i="7" l="1"/>
  <c r="S2485" i="7" s="1"/>
  <c r="AO325" i="1"/>
  <c r="AN325" i="1"/>
  <c r="AM3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Cristina Perez</author>
  </authors>
  <commentList>
    <comment ref="AJ4" authorId="0" shapeId="0" xr:uid="{00000000-0006-0000-0000-000001000000}">
      <text>
        <r>
          <rPr>
            <b/>
            <sz val="9"/>
            <color indexed="81"/>
            <rFont val="Tahoma"/>
            <family val="2"/>
          </rPr>
          <t xml:space="preserve">Q1: </t>
        </r>
        <r>
          <rPr>
            <sz val="9"/>
            <color indexed="81"/>
            <rFont val="Tahoma"/>
            <family val="2"/>
          </rPr>
          <t>Risk Quadrant=High Probability and High Consequence</t>
        </r>
        <r>
          <rPr>
            <b/>
            <sz val="9"/>
            <color indexed="81"/>
            <rFont val="Tahoma"/>
            <family val="2"/>
          </rPr>
          <t xml:space="preserve">
Q2: </t>
        </r>
        <r>
          <rPr>
            <sz val="9"/>
            <color indexed="81"/>
            <rFont val="Tahoma"/>
            <family val="2"/>
          </rPr>
          <t>Second priority=High Probability, low Consequence</t>
        </r>
        <r>
          <rPr>
            <b/>
            <sz val="9"/>
            <color indexed="81"/>
            <rFont val="Tahoma"/>
            <family val="2"/>
          </rPr>
          <t xml:space="preserve">
Q3: </t>
        </r>
        <r>
          <rPr>
            <sz val="9"/>
            <color indexed="81"/>
            <rFont val="Tahoma"/>
            <family val="2"/>
          </rPr>
          <t>Monitoring = Low Probability, High Consequence</t>
        </r>
        <r>
          <rPr>
            <b/>
            <sz val="9"/>
            <color indexed="81"/>
            <rFont val="Tahoma"/>
            <family val="2"/>
          </rPr>
          <t xml:space="preserve">
Q4: </t>
        </r>
        <r>
          <rPr>
            <sz val="9"/>
            <color indexed="81"/>
            <rFont val="Tahoma"/>
            <family val="2"/>
          </rPr>
          <t>Low priority = Low Probability, Low Consequence</t>
        </r>
        <r>
          <rPr>
            <b/>
            <sz val="9"/>
            <color indexed="81"/>
            <rFont val="Tahoma"/>
            <family val="2"/>
          </rPr>
          <t xml:space="preserve">
</t>
        </r>
      </text>
    </comment>
  </commentList>
</comments>
</file>

<file path=xl/sharedStrings.xml><?xml version="1.0" encoding="utf-8"?>
<sst xmlns="http://schemas.openxmlformats.org/spreadsheetml/2006/main" count="4740" uniqueCount="1568">
  <si>
    <t>Priority</t>
  </si>
  <si>
    <t>Dept</t>
  </si>
  <si>
    <t>Asset Category</t>
  </si>
  <si>
    <t>Project Title</t>
  </si>
  <si>
    <t>Project Description / Justification</t>
  </si>
  <si>
    <t>Comments</t>
  </si>
  <si>
    <t>Schools</t>
  </si>
  <si>
    <t>Building</t>
  </si>
  <si>
    <t>Public Buildings</t>
  </si>
  <si>
    <t>DPW/ Storm</t>
  </si>
  <si>
    <t>Storm</t>
  </si>
  <si>
    <t>Most building systems are beyond their useful life and academic program spaces do not meet current State Ed Dept standards.  MSBA 30%. First year cost is Carr Design and Angier feasibility study, as required for MSBA funding.  2nd year cost is Carr construction and Angier full design.  3rd year cost is Angier construction.  Cost must also include cost to move to Carr and back to Angier.  Remove and replace leaking gym roof.  Remove greenhouse roofing and replace with new EPDM roof.  Install new gutters and downspouts ($280,874).</t>
  </si>
  <si>
    <t>Fire Dept</t>
  </si>
  <si>
    <r>
      <t xml:space="preserve">Station is in major need of repair however due to magnitude of funding needed and major design considerations in the N. Centre triangle,  proposal is to move to next Fire Station while the optimal design is attained.  This could take 3-4 yrs in working with the Economic Development Committee and Community.  </t>
    </r>
    <r>
      <rPr>
        <sz val="8"/>
        <color rgb="FFFF0000"/>
        <rFont val="Calibri"/>
        <family val="2"/>
        <scheme val="minor"/>
      </rPr>
      <t>May need to remove underground tank prior to renovation project ($15K). Beyond useful life and venting issues.  If project is further delayed , windows and roof will require work.</t>
    </r>
  </si>
  <si>
    <t>DPW/ Water</t>
  </si>
  <si>
    <t>Water</t>
  </si>
  <si>
    <t>Pipe condition will continue to deteriorate over time potentially impacting public health, water quality, fire protection and pipe integrity</t>
  </si>
  <si>
    <t>DPW/ Sewer</t>
  </si>
  <si>
    <t>Parks/Rec</t>
  </si>
  <si>
    <t>Sewer</t>
  </si>
  <si>
    <t>DPW</t>
  </si>
  <si>
    <t>DPW - Replace Street Sweeper</t>
  </si>
  <si>
    <t>City needs 7 sweepers (6 operational, 1 spare) to complete timely sweeps in Spring and Fall, plus additional sweeps throughout year.  City currently has 6 sweepers.  Expensive to repair.</t>
  </si>
  <si>
    <t>Health</t>
  </si>
  <si>
    <t>On-call vehicle; 95K miles; excessive body rot</t>
  </si>
  <si>
    <t>Becoming too expensive to keep on the road as first line piece. Needs to replace spare ladder truck so that spare can be taken off the road</t>
  </si>
  <si>
    <t>IT</t>
  </si>
  <si>
    <t>Install Citywide IT Data Network</t>
  </si>
  <si>
    <t>Library</t>
  </si>
  <si>
    <t>Newton Free Library - Generator Replacement</t>
  </si>
  <si>
    <t xml:space="preserve">Part of twelve year $49.1 million Inflow/Infiltration program </t>
  </si>
  <si>
    <t xml:space="preserve">Station is in major need of repair.  </t>
  </si>
  <si>
    <t>Senior Center</t>
  </si>
  <si>
    <t>Senior Center - Mechanical Upgrades</t>
  </si>
  <si>
    <t>Replace AHUs. Change boiler burner to gas-fired. Replace breeching.•Replace roof mounted ventilation fans (3 ea).•Replace air handler units (2ea) based on reported operational problems.•Replace fan coil unit in basement based on reported operational problems.Improve HVAC systems to operate more cost effectively and provide more consistant heating/cooling/air circulation throughout the building. Replace AHUs.</t>
  </si>
  <si>
    <t>Much needed rescue truck to enhance specialized rescue. Special Ops gets taken out of service.</t>
  </si>
  <si>
    <t>Required to meet ISO fire flow standards, which are currently defficient.</t>
  </si>
  <si>
    <t>Approved for CDBG funding by the City's Commission on Disability.</t>
  </si>
  <si>
    <t>City Hall - Exterior Windows &amp; Doors</t>
  </si>
  <si>
    <t>Restore/Replace windows.  Repair, scrape, prepare surface and paint all exterior wood windows including double hung windows (143 ea), arched wood windows (36ea) and roof eyebrow wood windows (4ea).  Repair rotted sills and jambs (4ea) and replace broken screens.</t>
  </si>
  <si>
    <t>Remove exterior right front side single hung uninsulated panel door (1ea) and install historically approved weather tight door (1ea). Recaulk rear right panel door(1ea). Remove and restore historical front and rear pair of doors(2ea). Install with new approved historical door hardware and weather stripping. Make ADA door opening device fully functioning at rear entrance(1EA)•Remove all 1st, 2nd, bsmt floor and dormer ends windows (49ea). Restore historical windows.  Replace non historical windows with new historical windows. Caulk and seal all window. Install egree style window(1ea)for fire escape egress.</t>
  </si>
  <si>
    <t xml:space="preserve">City needs large construction trucks to haul materials and plow/salt for snow and ice control.  </t>
  </si>
  <si>
    <t>Lincoln Eliot School - Mechanical Upgrades</t>
  </si>
  <si>
    <t>6000 hrs</t>
  </si>
  <si>
    <t>Jackson Homestead</t>
  </si>
  <si>
    <t>Jackson Homestead - Archives Project</t>
  </si>
  <si>
    <t>$40K CDBG funds for FY11.</t>
  </si>
  <si>
    <t>Fire Station #1, Newton Corner - Replace Emergency Generator</t>
  </si>
  <si>
    <t>Replace emergency electrical generator (30kW, 208Y/120V, 3-Phase, 4-Wire) and transfer switch which are at the end of their useful lives.</t>
  </si>
  <si>
    <t>Replace ground floor electrical panelboards with (3) new 42 circuit panel boards.•Replace the two main electric services feeding the building.•Install a fire/smoke alarm system with audible alarms to meet ADA requirements in all areas of the building, in particular, the toilets and sleeping areas.  The system should be coupled with a building security system which currently does not exist.•Replace incandecent/CFL fixtures and consider a high efficiency LED where possible to improve energy efficiency.•Replace existing T-8 flourescent lighting fixtures with Super T-8 flourescent fixtures with occupancy sensors to improve energy efficiency.•Add (6) All-weather GFI to outside of building.•Expand kitchen circuitry to dedicated circuits to the areas hit by blown fuses.•Replace emergency electrical generator (30kW, 208Y/120V, 3-Phase, 4-Wire) and transfer switch which are at the end of their useful lives.</t>
  </si>
  <si>
    <t>Repair, upgrade finishes, in all bathrooms(10ea =2500sf)</t>
  </si>
  <si>
    <t>Newton Free Library - Mechanical Upgrades</t>
  </si>
  <si>
    <t>Ed Center - Electrical Upgrades</t>
  </si>
  <si>
    <t>Police</t>
  </si>
  <si>
    <t>Police Headquarters - Mechanical Upgrades</t>
  </si>
  <si>
    <t>Replace Roof Top Mechanical equipment that is beyond its useful life.  Requires a lot of maintenance and service calls</t>
  </si>
  <si>
    <t xml:space="preserve">City Hall - Envelope - Masonry Repairs  </t>
  </si>
  <si>
    <t>moderate body rot</t>
  </si>
  <si>
    <t>Police Headquarters - Roof Repair/ Replacement</t>
  </si>
  <si>
    <t>Repair EPDM roof for small leaks(5%=600sf). Repair copper cornice roof (300sf). Replace fire range roof(1700sf).</t>
  </si>
  <si>
    <t>Walnut Street (Homer Street to Route 9) - Final Design</t>
  </si>
  <si>
    <t>Federal TIP funding pays for construction only.  Design must be funded by municipality.</t>
  </si>
  <si>
    <t>Bigelow School - Mechanical Upgrades</t>
  </si>
  <si>
    <t>Fire Station #2, West Newton - Replace Ext. Windows &amp; Doors</t>
  </si>
  <si>
    <t>Remove existing wood windows and replace with new energy efficient insulated windows (40ea).</t>
  </si>
  <si>
    <t>Implement recommendations from 2007 Study of the Memorial Stairs.</t>
  </si>
  <si>
    <t>Field sees intense use throughout the year and serves as the Pop Warner Football Field for the City.  Due to the poor condition of the filed and drainage issues the field use is severely limited.</t>
  </si>
  <si>
    <r>
      <t xml:space="preserve">Replace boiler with a new with high efficiency gas-fired hot water boiler, direct vent.•Replace exhaust fans in janitor's closet , kitchen range hood, and in drying room.  Install code-compliant exhaust fan in chemical storage room.  Replace controller for fan in 1rst floor bathroom.•Replace hot water baseboard heating units, unit heaters in the garage (5ea) and unit heaters in the shop (2ea).•Replace thermostat control with new baseboard heating units.  </t>
    </r>
    <r>
      <rPr>
        <sz val="8"/>
        <color rgb="FFFF0000"/>
        <rFont val="Calibri"/>
        <family val="2"/>
        <scheme val="minor"/>
      </rPr>
      <t>Remove USTs.</t>
    </r>
  </si>
  <si>
    <t>FA Day School - Replace Boilers</t>
  </si>
  <si>
    <t>Repoint lintels and sills in conjunction with repointing veneer (300 lf).•Repair and repoint brick veneer (50%=5500sf).•Repair overhead door ramp and railings (500 sf). Repair ramp, retaining wall and railings (300 sf). Replace all exterior doors and hardware(4 single hung and 4 double hung doors).•Replace all exterior overhead doors (8x8 1ea and 10x10 2ea).•Replace double hung exterior windows (74 ea) with historically accurate units. Replace slate roof (8400sf).•Replace asphalt built-up roofing at the concrete low roof area (300 s.f.).•Repair cupola roofing (1ea).</t>
  </si>
  <si>
    <t>Mason Rice School - Mechanical Upgrades</t>
  </si>
  <si>
    <t>Apparatus replacement plan.Engine 1 will become our number one spare and replace spare Engine 12, a 1992 pumper Engine 12 gets taken out of service</t>
  </si>
  <si>
    <t>Pelligrini Park Field House - Mechanical Upgrades</t>
  </si>
  <si>
    <r>
      <t xml:space="preserve">Provide insulation for steam and condensate piping.•Replace wall mounted exhaust fan in gym with a roof mounted centrifugal fan with a make-up air unit.•Replace boiler induced draft fan with a new fan unit.•Replace shower room fan with a new unit.•Provide new heating controls with new fan and heaters.•Replace heater condensate pump.•Replace units with 2 new unit heaters. Other alternatives for heating of gym include radiant heaters or a make-up air system with a heating section.•Replace boiler with new energy efficient boiler and replace combustion air and breeching. </t>
    </r>
    <r>
      <rPr>
        <sz val="8"/>
        <color rgb="FFFF0000"/>
        <rFont val="Calibri"/>
        <family val="2"/>
        <scheme val="minor"/>
      </rPr>
      <t xml:space="preserve"> Remove UST and convert to gas. Should this be $75,000 only?</t>
    </r>
  </si>
  <si>
    <t>Fire Station #2, West Newton - Repair Building Envelope</t>
  </si>
  <si>
    <t>Address structural crack in CMU wall first.  Repoint/ repair exterior masonry.</t>
  </si>
  <si>
    <t>Replace kitchen cabinetry and counter tops (30lf).•Repair cracks in first floor concrete(10%=700sf).•S crape, prepare surface, and repaint first floor concrete pan ceiling (6800sf).•Replace VCT flooring on second floor (6800sf).•Repair/replace firepole trap doors as required(6ea).•Repair structural cracks in CMU walls (2%=300sf).Clean brick veneer at rear downspout area and infill around thru wall pipe penetrations (200sf).•Repoint overhead door masonry lintel (14x14 door) (20lf).•Scrape, prepare surface and repaint exterior wood trim (1000sf)</t>
  </si>
  <si>
    <t>Existing tennis courts at this site have deteriorated to the point where they may no longer be usable for safe tennis play.</t>
  </si>
  <si>
    <t>To comply with federal ADA requirements and to provide safe, accessible means to and from City sidewalks.  Budgeted levels provided by Planning Department.</t>
  </si>
  <si>
    <t>Brown School - Mechanical Upgrades</t>
  </si>
  <si>
    <t>Horace Mann School - Replace Roof</t>
  </si>
  <si>
    <t>Crafts St DPW Operations (Stable) - Interior Renovation</t>
  </si>
  <si>
    <t>Design and Construction for renovated interior including mechanical, electrical, plumbing, and accessibility upgrades.</t>
  </si>
  <si>
    <t>Upgrade interior lighting to super T-8 fixtures.•Remove abandonned emergency generator and install a new code-compliant emergency generator and new transfer switch.•Add additional duplex receptacle to each office location (~10 locations) to address extensive use of power strips.•Rewire entire Telcom infrastructure to BICSI code.  Secure all loose and unsupported electrical  wiring in the attic.•Upgrade building electrical system by replacing 100% of the electrical conduit (GRC and FMC).•Finish TR communications wiring by securing the cabling to bring up to BICSI code. Coordinate with an IT plan to bring the building up to BICSI standards.•Replace main electrical service.•Replace existing exterior lighting (10 Units) and add two more to parking area to improve on light levels in the parking lot.•Replace panelboard electrical service.  (Generator number too high and telecom and IT)Reconstruct interior ramp to be code compliant;  Install pipe rail to existing railing and install pipe rail to wall.   Ensure railings are between 1.25” and 1.50” in diameter and one set mounted between 34” and 38” AFF and the lower set mounted between 18” and 20” AFF;  interior accessible route exceeds 5 percent slope (6.6 percent).  Install handrails on both sides.•In the mens, multi-user toilet room: install an accessible stall that is at minimum 60” wide and allows minimum clear space of 42” between the rim of the toilet and the door opening; Insulate pipes to protect against contact; Install an accessible lavatory and operable faucets (lever or automatic); Reposition the mirror or install a full length mirror;  Lower the urinal and replace the flush valve.•Install a concrete ramp at the building entrance from the parking lot; Replace exterior door knobs with hardware that is operable without tight grasping, pinching or twisting;  Attach pipe railings to wall at ramp.  Ensure railings are between 1.25” and 1.50” in diameter and one set mounted between 34” and 38” AFF and the lower set mounted between 18” and 20” AFF of ramp; Install handrail extensions; Install a concrete ramp at the accessible entrance;  Repair railings on one side of accessible entrance and install railings on the other side.   Ensure railings are between 1.25” and 1.50” in diameter and one set mounted between 34” and 38” AFF and the lower set mounted between 18” and 20” AFF.•Relocate time clock so that controls are greater than 54" AFF for side reach at 56" AFF;  Provide an accessible table in the break area;  Remount sink in kitchen less than 34” AFF.  Provide clear floor space at sink with an opening for knee space that is min. 30” wide by 27” high by 19” deep; Install door hardware that is operable (lever type); Install tactile and Braille signage adjacent to latch side of door.Replace all heating piping with new code-compliant piping. Insulate all hot water supply and return piping.•Replace cast iron and electric baseboard heaters in office areas with new energy efficient hot water baseboard.  Replace existing unit heaters in garage (2ea), basement (1ea) and work shop (1ea) with new energy efficient hot water unit heaters.•Replace boiler with new gas-fired high efficiency boiler. Provide new hydronic accessories and controls.•Provide fan and make-up air damper at 1.5 CFM/sqft. for woodshop and garage.  Provide CO/NOx detection system for control of fan and dampers in garage.  Provide fans at 75 CFM per toliet/urinal in basement bathrooms.•Provide digital programmable thermostat with new heating system. Repair, scrape, prepare surface and repaint linear wood ceiling (2100sf).•Repair &amp; replace acoustical ceilings(30%=1500sf).•Refurbish basement bathrooms, toilet accessories, paint floor, misc(1ea)•Remodel basement break areas &amp; kitchenette (1ls).•Repair concrete floors (7500sf).•Repair Drywall (20%=1200sf).•Remove remaining portions of plaster lath ceiling, repair structure and install new fire rated drywall ceiling (5100sf). Replace basement single hung doors(5ea).Repair stair treads(30r). Install new railings (20lf). Remove petroleum products and remove or abandon oil tank. Boiler should be switched to gas-fired.•Insulate hot and cold water piping.</t>
  </si>
  <si>
    <r>
      <t xml:space="preserve">Repair concrete at the fire range ceiling. Rebuild tunnel ceiling, waterproof, etc. Repair Interior CMU and concrete walls. </t>
    </r>
    <r>
      <rPr>
        <sz val="8"/>
        <rFont val="Calibri"/>
        <family val="2"/>
        <scheme val="minor"/>
      </rPr>
      <t>Replace carpet flooring that is a tripping hazard.</t>
    </r>
  </si>
  <si>
    <r>
      <t>Repair concrete at the fire range ceiling (1700sf). Rebuild tunnel ceiling, waterproof, etc (200sf).•Repair Interior CMU walls as required(5%=800sf).•Repair Interior drywall as required(5%=600sf).•Repair Interior concrete walls as required(50%=1000sf).•</t>
    </r>
    <r>
      <rPr>
        <sz val="8"/>
        <color rgb="FFFF0000"/>
        <rFont val="Calibri"/>
        <family val="2"/>
        <scheme val="minor"/>
      </rPr>
      <t>Repair carpet floor as required(40%=3000sf)</t>
    </r>
    <r>
      <rPr>
        <sz val="8"/>
        <color theme="1"/>
        <rFont val="Calibri"/>
        <family val="2"/>
        <scheme val="minor"/>
      </rPr>
      <t>•Repair plaster ceiling (50%=2000sf).</t>
    </r>
  </si>
  <si>
    <t>Crafts Street Garage - Mechanical Upgrades</t>
  </si>
  <si>
    <r>
      <t xml:space="preserve">Replace paint shop fan with a new fan unit and replace filters for make-up air.•Replace severely corroded duct work in washer building with insulated aluminum ductwork.•Replace mechanical room unit heater with high efficiency, direct vent condensing gas fired unit heater.•Provide gas detection system for garage. Interlock to new exhaust fans.•Provide gas detection system for weld shop. Interlock to new exhaust fans and wire mesh screens for fans.•Replace weld hood and associated ductwork in the welding shop.•Replace welding shop unit heater, breeching and fan.•Provide gas detection system for body shop. Interlock to new exhaust fans.•Replace washer building electric heater with a heater suitable for a very corrosive environment.•Replace washer building gas fired heater with a heater suitable for a very corrosive environment.•Replace (2) garage storage unit heaters with smaller gas-fired unit heaters that are appropriately sized for the space.•Replace sign shop unit heater with high efficiency, direct vent condensing gas fired unit heater.•Replace electric cabinet unit heater in garage hallway with a new electric cabinet unit heater.  </t>
    </r>
    <r>
      <rPr>
        <sz val="8"/>
        <color rgb="FFFF0000"/>
        <rFont val="Calibri"/>
        <family val="2"/>
        <scheme val="minor"/>
      </rPr>
      <t xml:space="preserve">Some RTU work addressed in current project  </t>
    </r>
    <r>
      <rPr>
        <sz val="8"/>
        <rFont val="Calibri"/>
        <family val="2"/>
        <scheme val="minor"/>
      </rPr>
      <t xml:space="preserve">Replace pressure washer pump with a new pump. </t>
    </r>
    <r>
      <rPr>
        <sz val="8"/>
        <color rgb="FFFF0000"/>
        <rFont val="Calibri"/>
        <family val="2"/>
        <scheme val="minor"/>
      </rPr>
      <t>Replace rest of RTUS and remaining interior ventilation that was not covered in the stimulus project</t>
    </r>
  </si>
  <si>
    <t>Pelligrini Park Field House - Accessibility/ Site Upgrades</t>
  </si>
  <si>
    <t>Provide accessible toilets within footprints of existing mens and womens rooms.•Extend sloped corridor floor near gym entrance to meet minimum ADA slope requirements;  Modify doorway to kitchen to be 32" wide; Replace door knobs at side and basement entrances with hardware that is operable without tight grasping, pinching or twisting (lever type); Rebuild a 36” minimum section of kitchen counter to be less than 34” AFF; Remount kitchen sink less than 34” AFF.  Provide clear floor space at sink with an opening for knee space that is min. 30” wide by 27” high by 19” deep;  Install a hi-low drinking fountain.•Provide an accessible outdoor table;  Install a hi-lo drinking fountain;  Resurface and re-grade existing path to play area.</t>
  </si>
  <si>
    <t>Library Book Autocheckin/ Sorting System</t>
  </si>
  <si>
    <t>Almost 2 million library materials/yr checked in automatically and sorted by material type</t>
  </si>
  <si>
    <t>Circulation rising, limited staff, maintain staff efficiency, dovetails with library's Express Lane workstations (self checkout)/ repetitive stress injuries for staff, inefficiency, poor customer service, slow turnaround of library materials.  $15-20K/yr for maintenance</t>
  </si>
  <si>
    <t>30K miles</t>
  </si>
  <si>
    <t>Fire Station #2, West Newton - Replace Emergency Generator</t>
  </si>
  <si>
    <t>Lower Falls Community Center - Accessibility/ Site Upgrades</t>
  </si>
  <si>
    <t>Install an accessible stall in toilet rooms.•Install tactile and Braille signage mounted adjacent to latch side door at all permanent rooms and exits; Install signage inside community center indicating the location of the exterior accessible route to the gymnasium.•Replace lobby door hardware with hardware that does not require tight grasping, pinching, or twisting; Reposition lobby shelf, is a protruding object in its current condition; Install a lowered transaction counter in the lobby that has a 36" wide section that is 36" AFF; Install an accessible drinking fountain; Replace stair handrails in the gymnasium with ADA-compliant rails.</t>
  </si>
  <si>
    <t>City Hall - Mechanical Upgrades</t>
  </si>
  <si>
    <r>
      <t xml:space="preserve">Replace American Standard condensing unit which is very corroded.  Provide cover for units in winter.•Replace Dayton condensing unit which is very corroded.  Provide cover for units in winter.•Provide insulation for all supply ductwork and clean all ductwork.•Replace all exhaust ductwork.•Replace two floor mounted centifugal fans in attic for bathrooms (2400CFM)•Replace two horizontal fan coil units in the attic.•Replace floor mounted centrifugal fan in attic for central exhaust( 1ea).•Replace floor mounted centrifugal fan in attic for Memorial Hall (1ea).•Replace floor mounted centrifugal fan in cupola for cafteria (2ea).•Replace all ceiling fans with energy efficient fans. Replace damaged grilles (20%).•Replace all bathroom fans with new energy efficient fans.  </t>
    </r>
    <r>
      <rPr>
        <sz val="8"/>
        <color rgb="FFFF0000"/>
        <rFont val="Calibri"/>
        <family val="2"/>
        <scheme val="minor"/>
      </rPr>
      <t>Add mini-split A/C units in conjunction with window restoration /replacement ($100K). Maintenance items removed from list.</t>
    </r>
  </si>
  <si>
    <t>Police Annex - Mechanical Upgrades</t>
  </si>
  <si>
    <t xml:space="preserve">Replace baseboard heaters in bathrooms.  Provide proper ventilation/exhaust in locker rooms and bathrooms. Replace boiler with new high efficiency gas-fired boiler.  </t>
  </si>
  <si>
    <t>Provide exhaust fans at 75 cfm per fixture in 2nd floor bathrooms.•Replace baseboard heaters in bathrooms with new baseboard with aluminum or corrosion resistant covers.•Provide ventilation/exhaust in locker rooms per ASHRAE 62.1.•Replace first floor bathroom fans with new fans. Existing controls can remain.•Replace the boiler with a new high efficiency gas-fired boiler system.  Remove water on the floor in the boiler room.•Provide insulation for all hot water piping. Replace water fountain.</t>
  </si>
  <si>
    <t>Lincoln Eliot School - Plumbing Upgrades</t>
  </si>
  <si>
    <t>Oak Hill School - Mechanical Upgrades - Roof Top Units and Distribution System</t>
  </si>
  <si>
    <t>Kennard Estate-Accessibility/Site</t>
  </si>
  <si>
    <t>Rebuild landing outside of main entrance and install a ramp to make the entrance accessible; Repair stair nosings and replace handrails on both exterior stair.•Provide accessible parking spaces with signage.• Does not include Installing an elevator to provide vertical access to the second floor.</t>
  </si>
  <si>
    <t>Elliot Street Sand_Salt Shed - Structural and Envelope Repairs</t>
  </si>
  <si>
    <t>Replace 5-10 damaged wood truss members and braces.•Redistribute salt such that the maximum stacked height is not exceeded, using the yellow indicator line painted on the walls; add additional brace supports at ends of the building to prevent walls from buckling; reinforce bracing timbers as they split. Seal exterior exposed push wall plywood to prevent further deterioration (4200sf). Paint steel gussets with corrosive resistant paint throughout trusses  (9800sf). Scrape and repaint rake trim (300lf).•Repair front entry dormer (600sf). Add new support at the bowing bays (located at end walls) (2ea). Repair wood buttresses that support the push wall (5 ls).•Remove the salt stock pile. Extend push wall another 10' high to keep the weight of the salt off the exterior wall structure (1000sf).</t>
  </si>
  <si>
    <t>Jackson Homestead - Exterior Windows &amp; Doors</t>
  </si>
  <si>
    <r>
      <t xml:space="preserve">Replace exterior single hung door located right behind garage double doors with new door and pitch grade away from doors for proper drainage(1ea)•Repair attached shed doors that are located in the right rear of the building (1pr)•Replace existing windows with new historical window units(35ea). Install missing wood shutter (1ea).•Replace existing fixed single pane windows with new historical insulated window units(2ea).•Replace existing basement hopper windows with new historical window units(4ea).•Remove AC units and install new or existing authentic wood storm windows (2ea).•Replace wood 1/2 round windows single pane glass with historical insulated units(2ea). Replace wood transom window with historical window unit(1ea). </t>
    </r>
    <r>
      <rPr>
        <sz val="8"/>
        <color rgb="FFFF0000"/>
        <rFont val="Calibri"/>
        <family val="2"/>
        <scheme val="minor"/>
      </rPr>
      <t xml:space="preserve"> Some items addressed in archive project.</t>
    </r>
  </si>
  <si>
    <t>Elliot St. Operations Building - Building Envelope</t>
  </si>
  <si>
    <t>Repair foundation walls and rebuild ramp foundation walls. Repair/replace areaway retaining wall. Repair cracks; repoint mortar joints.</t>
  </si>
  <si>
    <t>Repaint wood rafter ends (200lf) and CMU foundation walls (3700sf).•Repair foundation CMU wall as required (30% =700sf).  Rebuild ramp foundation walls(1500sf).•Remove and install new stair handrails at front entry stairs (30lf). Remove areaway retaining wall and repair/replace wall (150sf). Install new handrails (50lf) at areaway stairs and clean out areaway drain (1ea).•Repair roof deck as required when repairing foundation walls (1100sf).</t>
  </si>
  <si>
    <t>Ward School - Accessibility Improvements</t>
  </si>
  <si>
    <t>Burr Park Field House - Mechanical/Electrical Upgrades</t>
  </si>
  <si>
    <t>Replace steam boiler, radiators, venting and piping.  Replace exterior lighting to improve safety and security. Upgrade interior lighting and original wiring and conduit.</t>
  </si>
  <si>
    <t>Replace two radiators downstairs with new wall mounted finned tube radiators.•Provide new digital programmable thermostat with new boiler system.•Replace boiler with new steam boiler. Provide new venting and combustion air system.•Replace piping and insulation with boiler replacement.Replace exterior lighting (10 wall pack units) to improve safety &amp; security.•Replace (40) GFI interior receptacles which are corroded.•Upgrade interior lighting to T-5 or Super T-8.•Replace wiring and conduit orginal to building (70% of total wiring)</t>
  </si>
  <si>
    <t>Crafts St. Salt Storage Sheds Replacement</t>
  </si>
  <si>
    <t xml:space="preserve">DEP requires covered storage for all salt sheds.  Salt would be exposed to the elements.  </t>
  </si>
  <si>
    <t>Replace gym floor with new wood flooring.  Replace damaged carpeting and VCT flooring.</t>
  </si>
  <si>
    <t>Replace gym floor with new wood flooring (2900sf).•Replace damaged areas of carpeting (50%=2000sf).•Repair/replace damaged areas of VCT (20%=1100sf)</t>
  </si>
  <si>
    <t>Bowen School - Mechanical Upgrades</t>
  </si>
  <si>
    <t>DPW-Water/Utilities Department -Mechanical Upgrades</t>
  </si>
  <si>
    <t>Remove and replace non-functioning radiators and associated piping in the basement area.•Provide 5 gallon shot feeder with piping for chemical treatment for hot water system to reduce long-term corrosion of the heating pipes.•Replace horizontal hot water unit heaters in lunch room (3ea), meter shop (1ea of 2), fire pump room (1ea), and mechancial room (1ea).  Remove (3) hot water unit heaters in garage and replace with (3) gas-fired unit heaters.  Remove and replace piping and (6) hot water unit heaters in the basement storage area (6 ea) .•Replace office wall-mounted air handler unit with a new new unit (1 ea).•Install CO/NOx detection system for garage so that the detection of gas energizes the existing exhaust fans (4ea).•Install backdraft damper on the fans. Regrease bearings to reduce noise (2ea).•Replace heating pumps which are nearing the end of their life expectancy (2ea).</t>
  </si>
  <si>
    <t>Ward School - Mechanical Upgrades</t>
  </si>
  <si>
    <t>Police Garage - Windows &amp; Doors and Building Envelope</t>
  </si>
  <si>
    <t>Replace overhead doors and glass block windows.  Replace door to planning/research and glass block wall. Repair masonry veneer exterior. Repair step cracking in CMU walls.</t>
  </si>
  <si>
    <t>Remove and replace OH doors (3ea) or infill opening with new wall system(216sf ea).•Replace all glass block windows with aluminum window units (11ea; 270sf).•Remove and replace door (1ea) to planning and research including removal and replacement of glass block wall (bad condition) (300sf); Remove doors and infill with CMU or if necessary replace doors and add egress landings and stairs(2ls).Scrape, paint exposed sections of lintels(250lf).•Repair corners of masonry veneer exterior and interior faces(10%; 650sf). Infill wall openings (1ea=1sf) and gaps around pipes penetrations (4ea).Repair cracking walls at corners of the building.•Repair step cracking in CMU walls (~100 LF) in evidence area.</t>
  </si>
  <si>
    <t>Elliot St. Garage - New Windows and Doors and Envelope Repairs</t>
  </si>
  <si>
    <t>Replace metal windows and security screens.  Remove and replace overhead doors with new insulated overhead doors. Repair exterior brick and at steel window lintels.</t>
  </si>
  <si>
    <t>Replace with insulated translucent panels.   Repair exterior brick cracks, chips and spalls(50% = 3300sf).Remove vegetation from left masonry end wall of garages (700sf).  Repair cracked brick masonry at ends of steel window lintels (50 sf).•Repair, scrape, prepare surface and repaint exposed steel lintels (250lf).Replace damaged roof panels.</t>
  </si>
  <si>
    <t>Pelligrini Park Field House - Exterior Windows &amp; Doors</t>
  </si>
  <si>
    <t>Replace all upper level fixed single pane metal glass windows and security screens and replace with new insulated thermally broken window units with new security screens (16ea).  Remove all lower level fixed single pane metal glass units and security screens and replace with new thermally broken window units and new security screens (12ea).</t>
  </si>
  <si>
    <t>Pelligrini Park Field House - Replace Roofs</t>
  </si>
  <si>
    <t>Remove and replace lower roofing membrane,  gutters and downspouts (2700sf).•Replace upper Gym membrane roof with a new EPDM roof.</t>
  </si>
  <si>
    <t>Replace Halloran Field Athletic Lighting (Albemarle)</t>
  </si>
  <si>
    <t>Replace the athletic lighting at the City's premier athletic complex</t>
  </si>
  <si>
    <t xml:space="preserve">The existing lighting system at Halloran is 30 years old and has experienced several major outages in the last five years.  As the City's premier athletic complex the site serves thousands of individuals and hosts many major sports leagues.   Replacing these lights will save on the annual repair costs as well as provide reduced energy costs and provide better quality lighting.  </t>
  </si>
  <si>
    <t>Commonwealth Avenue (Route 128 to Washington Street)  - Preliminary and Final Design</t>
  </si>
  <si>
    <t>Washington Street (Commonwealth Avenue to Centre Street)  - Preliminary and Final Design</t>
  </si>
  <si>
    <t>Bowen School - Electrical Upgrades</t>
  </si>
  <si>
    <t>Replace electrical panels and sub-panels in original buildings.</t>
  </si>
  <si>
    <t>Emerson Community Center - Electrical Upgrades</t>
  </si>
  <si>
    <t>Replace switchboard and increase service size to meet electrical demands.  Replace original overloaded electrical panels. Install emergency audiovisual horn strobes.</t>
  </si>
  <si>
    <t>Design a Telecommunications Room (TR) to EIA-568, BICSI, and National Electric Code (NEC) standards.•Replace switchboard and increase service size if needed to meet electrical demands.•Replace original building electrical panels on ground floor which are full and several are overloaded.•Install combination audiovisual horn strobes and beacons as required per NFPA 72-2007.</t>
  </si>
  <si>
    <t>Ward School - Electrical Upgrades</t>
  </si>
  <si>
    <t>Upgrade audible alarm and strobe for fire alarm system to ADA compliance.•Upgrade and replace egress lighting and signage per code•Replace all wiring in building.•Replace approximately 25% of existing interior power outlets and add electrical power outlets per code.•Replace all interior lighting with super T-8 flourescent fixtures to improve lighting levels and energy efficiency.•Build out a dedicated enclosed TR area to prevent accidental damage of components.•Replace main service.  Test copper lines, identify runs, reattach and/or replace panel covers.•Rewire complex and replace all conduit.•Replace electrical panels. Test copper lines, identify runs, reattach/replace panel covers.•Replace 100% of exterior electrical power outlets and add additional exterior outlets per code.</t>
  </si>
  <si>
    <t>City Hall - Roof Repair/Replacement</t>
  </si>
  <si>
    <t>Install new membrane roof on flat roofs.  Repair/replace gutters on balcony roofs.  Replace metal roofing and flashing as required.</t>
  </si>
  <si>
    <t>Install new EPDM membrane roof (6000sf) on main flat roofs.  Replace membrane roofing on inside upper floor of large cupola.  Replace exit door from cupola to exterior walk-around and add closer and locking mechanisms. Repair roof flashing and repair/replace gutters (700sf) on balcony roofs.•Replace metal roofing and flashing as required at several small sloping metal roofs  (200sf).</t>
  </si>
  <si>
    <t>Replace Fire Dept 1994 Cube Van W-4</t>
  </si>
  <si>
    <t>Replace 1994 Ford Cube Van (85,000 miles) for Wires Division which is responsible for city fiber optic, fire alrams, radio and phone systems.</t>
  </si>
  <si>
    <t>Wires Division vehicle responsible for city fiber optic, fire alram circuits, radio and phone system. Truck is specked out to be equipped for fiber optic splicing, an on board generator, racks for storage specialized lighting and recpeticles.</t>
  </si>
  <si>
    <t>Replace with vactor</t>
  </si>
  <si>
    <t>45K miles; moderate body rot</t>
  </si>
  <si>
    <t>Elliot St. Garage - Electrical Upgrades</t>
  </si>
  <si>
    <t>Upgrade and replace egress lighting (est. 10 units) and EXIT (est. 10 units) LED signage per code.•Build out a dedicated secured 8'x'10 TR area to prevent accidental damage of Telecom components.•Upgrade audible fire alarm and strobe to ADA compliance.•Replace all interior electrical power receptacles (30 ea).•Replace all electrical conduit and rewire entire building.•Replace (2) electrical panels.•Replace main electrical service.•Replace 9,000sq-ft interior lighting with super T-8 fluorescent fixtures to improve lighting levels and energy efficiency.</t>
  </si>
  <si>
    <t>Lincoln Eliot School - Replace Windows and Doors</t>
  </si>
  <si>
    <t>Replace windows in 1965 addition and 1975 clerestory windows</t>
  </si>
  <si>
    <t>Lower Falls Community Center - Electrical Upgrades</t>
  </si>
  <si>
    <t>Add additional electrical duplex receptacle to each office location (~20 locations) to address extensive use of power strips and extension cords.•Finish TR communications wiring by securing the cabling to bring up to BICSI code.  Coordinate with an IT plan to bring the building up to BICSI standards.•Rewire entire Telcom infrastructure to BICSI code.  Strap or wire wrap (to code) all loose and unsecured electrical utilities to the building.•Update fire alarm horn strobes and beacons to be ADA-compliant.</t>
  </si>
  <si>
    <t>Front stair railing collapsing; catch basin at entrance plaza, parking area, make accessible route</t>
  </si>
  <si>
    <t>Underwood School - Replace Roof</t>
  </si>
  <si>
    <t>Ed Center - Mechanical Upgrades</t>
  </si>
  <si>
    <t>Public Buildings Department-Electrical</t>
  </si>
  <si>
    <t>Replace interior lighting fixtures with T-5 or super T-8 flourescent fixtures to improve light levels and energy efficiency.•Update all interior electrical locations (~60 locations) with GFI duplex receptacles.•Replace electrical distribution panels with a (2) 42-circuit system.•Replace main electrical service and upgrade to 250A.•Build out a lockable dedicated TR for security purposes.  Sensitive information is warehoused here. Coordinate with an IT plan to bring the building up to BICSI standards.•Rewire entire Telcom and Electrical infrastructure to BICSI and Electrical code.</t>
  </si>
  <si>
    <t>Crafts St. Quonset Hut Replacement</t>
  </si>
  <si>
    <t>Vehicles and Equipment would be exposed to the elements impacting the useful life of vehicles/equipment</t>
  </si>
  <si>
    <t>Rebuild access ramp located at middle right side of building (70sf). Repair and repoint deteriorated areas of stone cornice (20%= 300lf).•Repair minor damaged areas of metal skin siding at large cupola (200sf).•Rebuild/reset front main entry stone stairs and stone wing walls and install code-compliant railings (10r triple-wide).  Replace or repair damaged stone treads. Rebuild/reset both front side entry stone stairs and install code-compliant railings (5r double-wide).  Repair, reset and repoint stair treads and handrails at four locations (6R at each location). Rebuild/reset rear stone stairs and install code-compliant railings (20r).  Rebuild and repoint stone corner posts at rear stairs (2 ea). •Replace egress stairs from basement to exterior.  Construct first three risers at basement level out of concrete to reduce future corrosion of steel (20r).</t>
  </si>
  <si>
    <t>Attach support post to foundation (1ea). Remove rotted section of fire escape platform(1ea) and attach new grate. Attach top fire escape rail to building(1ea).•Replace accessible ramp (35 lf) located at the front entrance with ADA code compliant ramp and railings. Repair concrete nosing located at the front entrance top riser(1ea). Install new side entry concrete stairs(2r) and handrails. Remove wood stairs(9r) and replace with composite stair tread. Add handrail (10lf) to side without railing. Clean debris and repair drywell(1ea)•Install vents through out balance of soffits(600sf area). Remove 1x4 fir from front and rear deck and install composite 1x4 deck (500sf). Clean out basement windows(5ea)•Scrape, caulk and paint exterior siding(4600sf)</t>
  </si>
  <si>
    <r>
      <t xml:space="preserve">Remove disabled electrical generator from premises and replace with a new unit.•Tie back flexible electrical conduit to meet electrical code.•Rewire entire Telcom infrastructure to BICSI code.•Add additional duplex receptacle to each office location (~20 locations) to address extensive use of power strips and extension cords.•Update horn strobes on fire/smoke alarm system to be ADA compliant.•Upgrade exterior lighting sensors to run on light level conditions and battery backup in the event of power failure.  Add occupancy sensors to the office area to improve energy efficiency.•Finish TR communications wiring by securing the cabling to bring up to BICSI code. </t>
    </r>
    <r>
      <rPr>
        <sz val="8"/>
        <color rgb="FFFF0000"/>
        <rFont val="Calibri"/>
        <family val="2"/>
        <scheme val="minor"/>
      </rPr>
      <t xml:space="preserve"> Generator not needed and cost too high.</t>
    </r>
  </si>
  <si>
    <t xml:space="preserve">Re-build the main entry ramp to be code compliant. Make ADA door opening device fully functioining. </t>
  </si>
  <si>
    <t>Re-build the main entry ramp so that it is greater than 48" wide between handrails and so that the slopes and landings are code compliant.•Install an elevator to provide vertical access to the second floor.</t>
  </si>
  <si>
    <t>Police Garage - Accessibility/Site Upgrades</t>
  </si>
  <si>
    <t>Provide accessible door hardware, signage and code-compliant lower counters.  Install accessible employee toilet room.</t>
  </si>
  <si>
    <t>Install tactile and Braille signage at the exits; Replace door knobs with hardware that is operable without tight grasping, pinching or twisting (lever type);  Provide code-compliant lower counters.•Install an accessible toilet room for the employee toilet room;  Replace the existing  door threshold at the employee toilet room.</t>
  </si>
  <si>
    <t>Replace door hardware with hardware that is operable without tight grasping, pinching or twisting (lever type); Install a lowered transaction counter at the circulation desk;  Provide an accessible table in the reading area;  Modify door at stairwell or install an automatic door opener to achieve 18” wide maneuvering clearance on the latch pull side of the door;  Replace handrails in stairwell with ADA-compliant rails.•Provide striping and signage for an accessible parking space;  Provide an accessible route from parking to library entrance; Provide an accessible route from parking to basement food pantry; Replace handrails at library entrance stairs with ADA-compliant rails; Relocate drop box to an accessible route or remove;  Repair cracked and uneven surface of path to main entrance.</t>
  </si>
  <si>
    <t>Provide an accessible toilet room for the womens and mens toilet rooms.•Install door hardware that is operable without tight grasping, pinching or twisting (lever type); Reconfigure the vestibule so there is more than 48" beyond the swing of the door;  Provide a lower code-compliant transaction counter;  Provide a hi lo drinking fountain.•Provide tactile and Braille signage at all rooms and spaces and exits.  Mount on the wall by latch side of door;  Provide directional signage to the accessible route to the main entrance.</t>
  </si>
  <si>
    <t>Burr Park Field House - Accessibility/Site Upgrades</t>
  </si>
  <si>
    <t>Accessibility upgrades to toilet rooms and fixtures, signage, drinking fountain, and door hardware.  Provide accessible path to entrance and an accessible parking space.</t>
  </si>
  <si>
    <t>Install tactile and Braille room and exit signage mounted adjacent to latch side door at all permanent rooms and exits.•Install hi-lo drinking fountain; Re-grade path to entrance and path along Park Street side of building to meet ADA-compliance requirements; Install a path to the playground that is 36" wide and the slope is not to exceed 5%; Install ADA-compliant handrails and handrail extensions at the path near the field house and at the stair on the Park Street side of the building; Replace existing table an accessible table.•Install an accessible sink that has a min. 27" AFF for knee clearance with hardware that is operable without tight grasping, pinching, or twisting•Restripe pavement markings to provide an accessible parking space.•Insulate pipes to protect against contact; Re-locate toilet dispenser and toilet mechanism so they will not interfere with grab bar; Mount 42" grab bars so that the rear one is mounted less than 6" from the corner and side grab bar is mounted less than 12" from the corner; Replace the flush controls in the women's toilet room; Lower the urinals in the men's toilet room so that the rim is 17" AFF.</t>
  </si>
  <si>
    <t>Emerson Community Center - Accessibility Upgrades</t>
  </si>
  <si>
    <t>Countryside School - Mechanical Upgrades</t>
  </si>
  <si>
    <t>Fire Station #2, West Newton - Mechanical Upgrades</t>
  </si>
  <si>
    <r>
      <t xml:space="preserve">Replace unit heaters (2ea).•Replace exhaust fans in ground level bathroom (1ea), drying room (1ea), and attic (3ea).•Provide new steam boiler or high efficiency hot water boiler with pumps. Note-with hot water boiler, fin tube radiation will be slightly derated and will require modifications.•Replace or service heating thermostats.•Replace steam traps.  </t>
    </r>
    <r>
      <rPr>
        <sz val="8"/>
        <color rgb="FFFF0000"/>
        <rFont val="Calibri"/>
        <family val="2"/>
        <scheme val="minor"/>
      </rPr>
      <t>Compressor issue?</t>
    </r>
  </si>
  <si>
    <t>City Hall - Elevator and Accessibility Upgrades</t>
  </si>
  <si>
    <t>Current elevator installed in 1976 and does not meet current ADA requirements.</t>
  </si>
  <si>
    <t>Repair Hammond St Drain</t>
  </si>
  <si>
    <t>Roadway drainage system is not functioning properly; Lack of road repair could lead to total pipe collapse and roadway settlement</t>
  </si>
  <si>
    <t>Emerson Community Center - Mechanical Upgrades</t>
  </si>
  <si>
    <t>Replace existing cast iron radiators with new steam baseboard units. Remove and replace all old insulation on heating pipes. Potential abatement needed.</t>
  </si>
  <si>
    <t>Replace existing cast iron radiators with new steam baseboard units.•Remove all old insulation on heating pipes, check condition of heating pipes and install new insulation.</t>
  </si>
  <si>
    <t>Replace Cold Spring Park Tennis Courts</t>
  </si>
  <si>
    <t>Restoration of Historic East Burying Grounds</t>
  </si>
  <si>
    <r>
      <t>Preservation of Remaining 24 Tombs in two of the three buring grounds.</t>
    </r>
    <r>
      <rPr>
        <sz val="8"/>
        <rFont val="Calibri"/>
        <family val="2"/>
        <scheme val="minor"/>
      </rPr>
      <t xml:space="preserve">  Priority to South, then East Parish, then West Parish sites.</t>
    </r>
  </si>
  <si>
    <t>Some tombs are falling apart--could be dangerous if someone fell in.</t>
  </si>
  <si>
    <t>50K miles, moderate body rot</t>
  </si>
  <si>
    <t>Kennard Estate - Replace Septic System</t>
  </si>
  <si>
    <t>Bigelow School - Replace Windows and Doors</t>
  </si>
  <si>
    <t>Replace aging windows and exteror doors to improve comfort, operation, and energy efficiency.</t>
  </si>
  <si>
    <t>Burr Park Field House - Building Envelope and Window Restoration</t>
  </si>
  <si>
    <t>Repair damaged exterior brick walls and trim. Remove entry landing stairs and railings and install new code-compliant landing, stairs and railings. Restore windows.</t>
  </si>
  <si>
    <t>Repair damaged areas of exterior brick masonry walls (20%=600sf).•Repair, prepare surface, and repaint running trim around building (300lf).•Repair, prepare surface, and repaint running trim around building (300lf).•Reseal masonry walls (2700sf); Paint wood trim (300sf).•Remove main entry landing (250sf), stairs (4rx10lf) and railings (25lf) and install new code-compliant landing, stairs and railings.  Remove entry patio fence at 3-step stairs and install new fence and railings (100lf).  Remove left sidewalk and retaining wall and replace with new concrete sidewalk, retaining wall (200sf). Add railing to new steps (3r).  Repair right concrete sidewalk (50sf). Install  new concrete steps on right side with handrails (3r).Remove bay window security grill, repair, paint as required (1ea). Remove bay wood window and replace with new, historically appropriate insulated unit (1ea). Re install security grills(1ea).•Remove security grills at exterior windows, repair, and paint as required (25ea). Remove single hung wood exterior windows and replace with histroically new historically appropriate insulated units (25ea). Reinstall security grills (25ea).</t>
  </si>
  <si>
    <t>Auburndale Library -Mechanical Upgrades</t>
  </si>
  <si>
    <t>Replace boiler with new steam oil-fired boiler. Replace breeching, combustion air dampers and ductwork.  Include heating zone and radiators in basement area.•Replace condensate pump with duplex condensate pump.•Provide new insulated piping with new boiler system.•Provide condensate pump for dehumidifers with new PVC piping. Repipe condensate through window in boiler room.•Provide new insulation for supply ductwork. Provide grille or screen for return ductwork.  Provide wire mesh screen at inlets to ductwork.  Provide covers for transfer grilles on basement side.</t>
  </si>
  <si>
    <t>Upper Falls Fieldhouse-Building Upgrades</t>
  </si>
  <si>
    <t>Replace urinal in mens room (1ea).•Replace sinks in toilet rooms (2ea).•Replace drinking fountain.•Replace all toilets (2ea).</t>
  </si>
  <si>
    <t>Horace Mann School - Restore/Replace Modular</t>
  </si>
  <si>
    <t>Existing modular is nearing the end of its useful life and will need to be reconditioned or replaced with permanent construction</t>
  </si>
  <si>
    <t>Crystal Lake Bathhouse - Renovate/Replace</t>
  </si>
  <si>
    <t>Existing bathhouse requires replacement due to significant deterioration including wood rot, mold and algae, leaks, &amp; flooding related to adjacent parking lot storm water issues.   Facility is over 80 years old and has over 25,000 visits annually.</t>
  </si>
  <si>
    <t>Police Annex - Roof Restoration/ Replacement</t>
  </si>
  <si>
    <t>Remove slates and replace with new slate roofing, gutters and downspouts (6600sf).•Install new EPDM Roof(500sf).  Reattach pvc downspout(1ea).</t>
  </si>
  <si>
    <t>Auburndale Cove Fieldhouse - Building Upgrades</t>
  </si>
  <si>
    <t>Replace Cabot Park Tennis Courts</t>
  </si>
  <si>
    <t>Replace two existing tennis courts at Cabot Park.</t>
  </si>
  <si>
    <t>Jeanette Curtis West Rec Ctr (The Hut) Renovation</t>
  </si>
  <si>
    <t>Rehabilitation of building envelope, mechanical, electrical, plumbing systems, life-safety, and accessibility of this historically significant structure. Houses many programs.</t>
  </si>
  <si>
    <t>Structurally the building is beginning to fail and has an outdated heating system that can not keep the facility warm in the winter.  This building is a key component of a number of the Department's programs and is also utilized by the School Department.</t>
  </si>
  <si>
    <t xml:space="preserve">Replacement of vehicle that is used daily for maintenance operations that exceeded its useful life span.  </t>
  </si>
  <si>
    <t>Vehicle is used daily for maintenance operations.  Loss of this vehicle would significantly hinder basic department services</t>
  </si>
  <si>
    <t>Police Garage - Mechanical Upgrades</t>
  </si>
  <si>
    <t>Replace ceiling hung unit heaters. Provide bathroom exhaust fan and split air conditioning system. Remove abandoned steam piping to prevent possibility of freezing.</t>
  </si>
  <si>
    <t>Replace ceiling hung unit heaters or install gas-fired dx cooled RTUs •Provide exhaust fan in garage bathroom at 75 CFM per fixture (1 ea).•Provide split system or new window unit. Condensate must be drained to the outside or to floor drain.•Provide split air conditioning system. Wall mounted indoor units with condensing unit located outside or on roof (Approx. 2 tons).•Remove abandoned steam piping to prevent possibility of freezing.Remove existing garage air pump compressor and replace with a new high efficiency unit (1ea).</t>
  </si>
  <si>
    <t>Apparatus replacement plan.Engine 3 will become a spare and replace spare Engine 14. Engine 14 gets taken out of service</t>
  </si>
  <si>
    <t>Senior Center - Building Envelope</t>
  </si>
  <si>
    <t>Repoint exterior masonry walls as required(10%=800sf).•Repair, reset and regrout main granite front stairs (4r). Repair stone veneer at main entry (1ls). Rebuild rear right side areaway and stairs(14r). Rebuild left side rear areaway granite cap (14lf) and install handrails (15lf). Install bollards to protect granite cap at left rear areaway (2ea).•Install new areaway canopy at the right side rear (50sf) to replace badly deteriorated canopy.</t>
  </si>
  <si>
    <t>Fire Station #1, Newton Corner - Renovation</t>
  </si>
  <si>
    <t>Station is in major need of repair</t>
  </si>
  <si>
    <t>Nonantum Library-Mechanical</t>
  </si>
  <si>
    <t>Remove and replace slate roof. Install new gutters and downspouts. Remove and replace existing flat roof.</t>
  </si>
  <si>
    <t>Develop plans to expand archival storage to accommodate and preserve archival collections and to comply with MGL mandated record storage requiremts.</t>
  </si>
  <si>
    <t>The only city Archival Storage space is in the Newton Free Library and is 95% full.  Needs to be expanded to accommodate MGL mandated record storage and preservation into the future.  A plan needs to be developed to address this critical need before space runs out.</t>
  </si>
  <si>
    <t>Public Buildings Department-Mechanical</t>
  </si>
  <si>
    <r>
      <t xml:space="preserve">Replace (2) duct mounted steam coils and baseboard heaters.•Replace fan coil ductwork with new insulated ductwork.  Provide make up air dampers and control for emergency generator.•Replace boiler induced-draft fan and replace corroded section of breeching.  Provide 75 CFM exhaust fans in mens and womens toilet rooms.•Replace air handler with new fan coil unit. Provide pad for unit to prevent water damage to unit or return ductwork.•Insulate steam and condensate piping in boiler room.•Provide damper and controls for combustion air opening for boiler.  </t>
    </r>
    <r>
      <rPr>
        <sz val="8"/>
        <color rgb="FFFF0000"/>
        <rFont val="Calibri"/>
        <family val="2"/>
        <scheme val="minor"/>
      </rPr>
      <t>No baseboard heating.</t>
    </r>
  </si>
  <si>
    <t>Elliot St. Operations Building - Roof Repair/ Replacement</t>
  </si>
  <si>
    <t xml:space="preserve">Remove and replace corrugated fiberglass roof.  Repair/ replace existing slate roof and add ice shield to prevent ice damming and icicle build-up. Repair/replace gutters. </t>
  </si>
  <si>
    <t>Remove old corrugated fiberglass roof and replace with new shed roof (80sf).•Remove existing slate roof. Add water and ice shield to correct problem of ice damming and icicle build-up. Install new architectural grade slate roof (6000sf). Repair or replace gutter when adding new roof. (160lf).•Repair roof deck as required when repairing foundation walls (1100sf).</t>
  </si>
  <si>
    <t>Auburndale Library -Exterior Windows &amp; Doors</t>
  </si>
  <si>
    <t>Remove existing exterior wood doors and frames and replace with new doors and hardware (3ea.)•Repair/replace 20% of lead solder, woodwork and storms at building windows (16ea).</t>
  </si>
  <si>
    <t>Pelligrini Park Field House - Electrical Upgrades</t>
  </si>
  <si>
    <t>Replace lighting in (5,500sq-ft) building to T-5 or Super T-8. Provide protective cages over lighting fixtrues in gymnasium area.•Replace Main electrical service with new code-compliant hardware.•Replace and upgrade all electrical conduit and wiring.•Replace electrical panelboards (2ea).•Build out a dedicated secured 8'x'10 TR area to prevent accidental damage of Telecom components.•Replace duplex sockets and bring to code (Est. 50 receptacles).</t>
  </si>
  <si>
    <t>Ed Center - Accessibility Upgrades</t>
  </si>
  <si>
    <t>Upgrade elevator, door hardware, and signage for accessibility.</t>
  </si>
  <si>
    <t>FA Day School - Accessibility Upgrades / Replace Elevator</t>
  </si>
  <si>
    <t>Nonantum Library-Electrical</t>
  </si>
  <si>
    <t>Replace electrical conduit and wiring throughout the library structure and bring up to code.•Add GFI receptacles to Men's and Women's toilets (2ea).•Upgrade interior lighting to Super T-8 flourescent lighting.•Replace electrical panel box with new 84 Circuit code-compliant panel board.•Replace main electrical service with new code-compliant hardware.</t>
  </si>
  <si>
    <t>Police Garage - Electrical Upgrades</t>
  </si>
  <si>
    <t>Connect the Garage to the existing CAT 250KW generator.•Rewire entire Telcom infrastructure to BICSI code.•Replace interior lighting fixtures with t-5 or super T-8 to improve on light levels and efficiency.•Upgrade exterior lighting sensors to run on light level conditions and battery backup in the event of power failure.  Add occupancy sensors to the office area and garage to improve energy efficiency.•Update all electrical locations (~60 locations) with GFI duplex receptacles.•Rewire entire electrical infrastructure and allow for office expansion and storage areas to be electrified.•Strip back old FMC electrical conduit and replace conduit and wiring.•Strip back old RMC electrical conduit and replace conduit and wiring.•Replace electrical distribution panel with 42-circuit system.•Replace main electric service to building and upgrade to 200A.•Build out a lockable dedicated TR for security purposes.  Sensitive information is warehoused here.•Upgrade security system with integrated cameras that allow for dispatch to monitor activity in the property and evidence room.•Install a code-compliant smoke and fire detection system.•Add egress and EXIT signage per code to office and garage bay.•Add 10 all-weather GFI receptacles along the perimeter of the structure.</t>
  </si>
  <si>
    <t>City Hall - Plumbing Upgrades</t>
  </si>
  <si>
    <t>Crafts Street Garage - Replace Overhead Garage Doors</t>
  </si>
  <si>
    <t>Replace ten 25-year old overhead doors and tracks.  Replace exterior entrance doors and vestibule doors.</t>
  </si>
  <si>
    <t xml:space="preserve">$75,000 for 10 replacement garage doors (25 years old). </t>
  </si>
  <si>
    <t>Existing paper maps will continue to deteriorate with age and resource will be lost</t>
  </si>
  <si>
    <t>The existing aquatic facility is nearly 50 years old and has constant equipment failures and leaks.  The pool has insufficient space to accommodate the volume of use and sees over 35,000 visits a year.  Replacing the pool will allow the City to expand its swim programs and accommodate residents waiting to join the City's swim team.  Its use would be expanded to all year round with the installation of a removable enclosure.</t>
  </si>
  <si>
    <t>Fire Station #2, West Newton - Renovation</t>
  </si>
  <si>
    <t>Stations in major need of repair</t>
  </si>
  <si>
    <t>Replace second boiler and steam trap work.</t>
  </si>
  <si>
    <r>
      <t xml:space="preserve">Convert 19 gas lights to electric lights on existing utility poles.  Convert 56 gaslights to electric lights where no streetlight pole exists.  Requires installation of conduit, electric meters, new foundations, new poles, and new light fixtures.  </t>
    </r>
    <r>
      <rPr>
        <sz val="8"/>
        <color rgb="FFFF0000"/>
        <rFont val="Calibri"/>
        <family val="2"/>
        <scheme val="minor"/>
      </rPr>
      <t>Payback period?  break into two projects? location?</t>
    </r>
  </si>
  <si>
    <t>Cost is about $500 per light.  Natural gas savings is about $8,300 per year.  Payback is about 1.2 years.  Gaslights are 1/3 as bright as 50 watt streetlight.  Gaslights have greater carbon emission by factor of 11.  Gaslights are 17 times more expensive to operate and maintain.</t>
  </si>
  <si>
    <t>Police Garage - Roof Replacement</t>
  </si>
  <si>
    <t>Remove overgrowth of trees (3ls). Repair the  animal access into mezzanine Lock up mezz. Repair roof as required. Repair water divertor located above support service bureau door (1ls).</t>
  </si>
  <si>
    <t>Scheduled replacement year: 2017</t>
  </si>
  <si>
    <t>Replace Newton South High School Tennis Courts</t>
  </si>
  <si>
    <t>Replace Fire  Pumper Truck (Engine 7)</t>
  </si>
  <si>
    <t>Oak Hill district will be left without fire protection. Needs to replace spare pumper so that spare can be taken off the road</t>
  </si>
  <si>
    <t>Elliot St. Operations Building - Accessibility/Site</t>
  </si>
  <si>
    <t>Restripe pavement and provide parking signage to create accessible parking spaces; construct an accessible entrance to the building.</t>
  </si>
  <si>
    <t>added $50K for entrance ramp.</t>
  </si>
  <si>
    <t>Jackson Homestead - Object Collection Storage</t>
  </si>
  <si>
    <t>The Museum is no longer collecting because there is no space for additional materials.  Also crowded conditions do not lead to good care and management.</t>
  </si>
  <si>
    <t>Senior Center - Exterior Windows &amp; Doors</t>
  </si>
  <si>
    <t>Restore/Replace wood windows and aluminum storm windows as historically appropriate.</t>
  </si>
  <si>
    <t>Repair /Replace and repaint wood windows and aluminum storm windows as required (20%=14ea).</t>
  </si>
  <si>
    <t>Burr School - Accessibility Upgrades</t>
  </si>
  <si>
    <t>Pellegrini Park Drain Replacement</t>
  </si>
  <si>
    <t xml:space="preserve">Minor flooding in park area.  Work needs to be completed prior to rehabilitation of fields. </t>
  </si>
  <si>
    <t xml:space="preserve">Underwood School - Electrical Upgrades </t>
  </si>
  <si>
    <t>Waban Library-Exterior Windows &amp; Doors</t>
  </si>
  <si>
    <t>Refit  exterior wood door (1ea). Install panic hardware (3ea).Replace areaway and rear door(2ea).•Repair, scrape, prepare surface and paint first floor (20ea) and basement windows (20ea).</t>
  </si>
  <si>
    <t>Elliot St. Operations Building - Mechanical/ Plumbing Upgrades</t>
  </si>
  <si>
    <t>Provide combustion air openings with dampers and controls for boiler per code requirements. Provide new breeching with barometric damper.•Replace unit heater in tool room with new code-compliant unit heater.•Replace finned tube heater in garage with new code compliant finned tube heater.•Replace cast iron radiators with code-compliant finned tube radiators.•Provide new ventilation grilles/diffusers.•Provide new insulated steam and condensate piping.•Replace locker room unit heater with new code-compliant unit heater. Replace toilet fixtures in basement and clean out sanitary piping.•Replace hot water heater in basement.•Replace shower head and piping.•Replace sink and clear drain and improve water flow.Replace toilet fixtures in basement and clean out sanitary piping.•Replace hot water heater in basement.•Replace shower head and piping.•Replace sink and clear drain and improve water flow.</t>
  </si>
  <si>
    <t>Pump station is used for flood and mosquito control of Flowed Meadow and needs upgrades and repair work to function properly.</t>
  </si>
  <si>
    <t xml:space="preserve"> Roof and exterior decoration; Roof repair and replacement of exterior doors; Roof collapse would cost $125K to replace roof and internal mechanical controls</t>
  </si>
  <si>
    <t>Bigelow School - Accessibility Upgrades</t>
  </si>
  <si>
    <t>Install accessible ramp at entrance. Provide accessible toilet rooms. Resurface and re-grade pavement to comply with ADA requirements; Provide accessible parking space.</t>
  </si>
  <si>
    <t>Install an elevator to provide access to all floors.•Install accessible ramp at entrance.•Provide an accessible mens and womens toilet room.•Resurface and re-grade existing pavement to comply with ADA requirements; Restripe pavement markings to provide a van accessible space with access aisle and compliant signage.</t>
  </si>
  <si>
    <t>Waban Library-Electrical</t>
  </si>
  <si>
    <t>Add GFI receptacles (2) to Men's and Women's toilets.•Upgrade interior lighting to Super T-8 flourescent to improve energy efficiency.  Include an occupancy sensor lighting contol system.•Replace electrical panel box with new 42 Circuit code-compliant board.•Replace all exterior lighting (6 wall pack units) to improve safety &amp; security and add a lighting controller system.•Replace main electric service with new code-compliant hardware.•Replace conduit and wiring throughout the library structure and bring up to code.</t>
  </si>
  <si>
    <t>Improve efficiency of operations allowing the appartus to be placed in service faster, and to make the fire ground safer for firefighters.  Curretnly need to return to  Station 3 to refill bottles which is time consuming.</t>
  </si>
  <si>
    <t>City Hall - Rehabilitate Board of Alderman Chamber</t>
  </si>
  <si>
    <t>Senior Center - Roof Restoration/ Replacement</t>
  </si>
  <si>
    <t>Remove existing slate roof and replace with new roof, gutters, and downspouts (5900sf).•Replace existing flat roof with new membrane roof and provide proper roof drainage (400sf).</t>
  </si>
  <si>
    <t>Replace/restore slate roof as historically appropriate.</t>
  </si>
  <si>
    <t>Repair/restore slate roof.</t>
  </si>
  <si>
    <t>Elliot St. Operations Building - Replace Windows &amp; Doors</t>
  </si>
  <si>
    <t>Remove and replace windows.  Replace overhead doors. Replace exterior and interior doors.</t>
  </si>
  <si>
    <t>Remove and replace windows at the exterior garage level (2ea).•Replace overhead doors (4ea).Install new doors and frames at six locations (6ea). Remove tripping hazard at the garage stair doorway sill.</t>
  </si>
  <si>
    <t>Auburndale Library - Electrical Upgrades</t>
  </si>
  <si>
    <t>Add GFI receptacles (2) to Men's and Women's toilets and add 10 additional receptacles per code requirements to reduce the need for extension cords.•Replace electrical conduit and wiring through the Library Structure and bring up to code.•Upgrade interior lighting fixtures to Super T-8 flourescent to improve energy efficiency.•Replace main electrical service with new code-compliant hardware.•Replace electrical panel box with new 84 Circuit code-compliant panel board.</t>
  </si>
  <si>
    <t>Restoration of Historic West Burying Grounds</t>
  </si>
  <si>
    <r>
      <t>Preservation of Remaining 24 Tombs in two of the three buring grounds.</t>
    </r>
    <r>
      <rPr>
        <sz val="8"/>
        <color rgb="FFFF0000"/>
        <rFont val="Calibri"/>
        <family val="2"/>
        <scheme val="minor"/>
      </rPr>
      <t xml:space="preserve"> </t>
    </r>
  </si>
  <si>
    <t>DPW-Water/Utilities Department - Accessibility Upgrades</t>
  </si>
  <si>
    <t xml:space="preserve">Entrance ramp, toilet room and water fountain upgrades, door hardware, lift, etc to improve accessibility. </t>
  </si>
  <si>
    <t>Install an accesible bench in the locker room; Install an accessible table in the locker room; Install an accesssible locker in the locker room; Provide accessible route to the reception area; Provide a barrier below interior stair because headroom is less than 80"; Reposition fire extinguisher and punch in clock so they are mounted 27" AFF or install a cane detectable barrier.•Provide directional signage from lower entrance to accessible entrances; Resurface/re-grade path from parking to accessible entrances to meet ADA requirements.•Reverse swing direction of stall door in toilet room on first and second level; Reposition side grab bar at first level toilet room to extend 54" beyond back wall; Install grab bar in accessible toilet room on second level; Remove urinal shield in first level toilet room; Insulate pipes to protect against contact; Reposition mirror in both toilet rooms to 40" AFF; Reposition dispenser in first level toilet room to 54" AFF.•Restripe pavement markings to provide accessible parking spaces; Install accessible parking signage.•Install tactile and Braille room and exit signage mounted adjacent to latch side door at all permanent rooms and exits.</t>
  </si>
  <si>
    <t>Countryside School - Replace Windows and Doors</t>
  </si>
  <si>
    <t>Replace single pane storefront system in connector and annex windows and exterior doors.</t>
  </si>
  <si>
    <t>Franklin School - Mechanical Upgrades</t>
  </si>
  <si>
    <t>Replace Bituminous main entry walk and foundation walls(600sf).•Install railing at concrete entry pad (15lf). Rebuild side stairs at main entry(4r double wide). Reset flag stone main entry patio area (50sf). Rebuild concrete stairs and concrete pad located at rear entry(3r). Install hand rail on one side of rear entry wall (15lf).•Repair flashing of parapet walls (200lf).</t>
  </si>
  <si>
    <t>Repair/Replace Fencing at Historic Burying Grounds</t>
  </si>
  <si>
    <t>Restoration of Fences at all 3 burying grounds</t>
  </si>
  <si>
    <t>Old chain link fences have rusted</t>
  </si>
  <si>
    <t>Underwood School - Accessibility Upgrades</t>
  </si>
  <si>
    <t>Accessibility upgrades including compliant  door hardware, Toilets, and Elevator</t>
  </si>
  <si>
    <t>Franklin School - Accessibility and Plumbing Upgrades</t>
  </si>
  <si>
    <t xml:space="preserve">Farlow &amp; Chaffin Parks Historic Landscape Preservation Plan </t>
  </si>
  <si>
    <r>
      <t>Restoration and preservation of Farlow and Chaffin Park.  Could b</t>
    </r>
    <r>
      <rPr>
        <sz val="8"/>
        <rFont val="Calibri"/>
        <family val="2"/>
        <scheme val="minor"/>
      </rPr>
      <t>reak out into design vs construction- 2 yrs</t>
    </r>
  </si>
  <si>
    <t>Historically important this landscape has deteriorated significantly since it was first built and requires significant work to restore.  This park is one of only a few passive recreation sites in the City that is a central focal point for the densely populated Newton Corner Neighborhood.</t>
  </si>
  <si>
    <t>Waban Library-Roofs</t>
  </si>
  <si>
    <t xml:space="preserve">Remove slate and install new slate roof, gutters and downspouts. </t>
  </si>
  <si>
    <t>Remove slate and install new slate roof, gutters and downspouts (6400sf). Inspect and reconnect downspouts into drywell (1ls). Repair rain water leader which is split over area way and drains roof water into area way (1ea).</t>
  </si>
  <si>
    <t>Zervas School - Plumbing Upgrades</t>
  </si>
  <si>
    <t>Mason Rice School - Accessibility Upgrades</t>
  </si>
  <si>
    <t>Mason Rice School - Electrical Upgrades</t>
  </si>
  <si>
    <t>Lincoln Eliot School - Electrical Upgrades</t>
  </si>
  <si>
    <t>City Hall and War Memorial Historic Landscape Preservation Project</t>
  </si>
  <si>
    <t>Restoration and preservation of City Hall grounds Historic Landscape</t>
  </si>
  <si>
    <t>The most identifiable landscape in the City, City Hall/War Memorial Public Bldg. Grounds designed by Olmsted Bros. is on the  National Historic Register.  This landscape has deteriorated significantly since it was first built and requires significant work to restore.</t>
  </si>
  <si>
    <t>Public Buildings Department-Roofs</t>
  </si>
  <si>
    <t>Scrape, prepare surface, paint corrugated metal shed roof (2000sf).•Remove tree limbs from brushing on roof shingles. Install new roof shingles (4200sf). Scrape, prepare surfaces, paint rafter ends and plywood (270lf).•Remove skylights and replace with solar light tubes (7ea). Refinish interior skylight shaft (7ea).</t>
  </si>
  <si>
    <t>Cheesecake Brook Drainage Basin: Repair and Rebuild Retaining Wall</t>
  </si>
  <si>
    <t>Wall integrity is jeopardized; Further deterioration of walls would lead to potential collapse of further sections and impact private property</t>
  </si>
  <si>
    <t>Install an accessible toilet room.•Repair cracked and uneve concrete path;  Enlarge concrete landing area to 60" at side entrance and rebuild concrete path;  Replace door knobs at side and basement entrances with hardware that is operable without tight grasping, pinching or twisting (lever type);  Replace handrails at basement entrance with ADA-compliant rails;  Modify basement door to provide 18" wide clear maneuvering space on the latch pull side of the door or install an automatic door opener.•Install a lowered transaction counter at circulation desk;  Replace door hardware with hardware that is operable without tight grasping, pinching or twisting (lever type);  Replace stairwell railings with ADA-compliant rails;  Install a ramp in the basement to provide an accessible route to all book store stacks.•Install an elevator to provide vertical access to all floors.</t>
  </si>
  <si>
    <t>Nonantum Library-Accessibility/Site</t>
  </si>
  <si>
    <t>Provide visual alarms; Reconfigure both entry vestibules to get 48" beyond swing of door;  Provide an ADA-compliant coat hook;  Provide a section of circulation desk counter at least 36” wide and 36” AFF or provide a clipboard; Provide a hi lo drinking fountain.•Provide a van accessible parking space; Add pipe rail to existing handrails and add rail extensions at front stairs;  Reconstruct the ramp to conform to ADA dimensional requirements;  install handrail extensions at side entrance stairs.• Does not include elevator ($135K).•Relocate toilet so that the centerline of the toilet is 18” from the nearest wall;  Install a grab bar that is 42” long and mounted less than 12” from the corner;  Relocate the lavatory to have clear maneuvering space at 47"; Insulate exposed pipes to protect against contact.</t>
  </si>
  <si>
    <t>New DPW Equipment Shelter - Elliot St</t>
  </si>
  <si>
    <t>Covered storage extends life of vehicles and equipment</t>
  </si>
  <si>
    <t>Williams School - Accessibility Upgrades</t>
  </si>
  <si>
    <t>Install code-compliant sprinkler system in building in conjunction with any major building upgrade.</t>
  </si>
  <si>
    <t>Horace Mann School - Mechanical Upgrades</t>
  </si>
  <si>
    <t>Countryside School  - Plumbing Upgrades</t>
  </si>
  <si>
    <t>Laundry Brook Culvert Repairs</t>
  </si>
  <si>
    <t>Bowen School - Accessibility  Upgrades</t>
  </si>
  <si>
    <t>Elliot St. Garage - Roof Repair/Replacement</t>
  </si>
  <si>
    <t>Clean off overhanging roof vegetation, clean out drains and reseal  all EPDM seams (10,800sf).</t>
  </si>
  <si>
    <t>Elliot St. Operations Building - Interior and Finish Upgrades</t>
  </si>
  <si>
    <t xml:space="preserve">Lincoln Eliot School - Accessibility Upgrades </t>
  </si>
  <si>
    <t>Fire Dept Equipment Replacement</t>
  </si>
  <si>
    <t>Replace firefighters personal turnout gear. NFPA Standard is to replace every 10 yrs; now 3 yrs old. Best to replace incrementally instead of all at once.</t>
  </si>
  <si>
    <t>Burr School - Electrical Upgrades</t>
  </si>
  <si>
    <t>Brown School - Accessibility Upgrades</t>
  </si>
  <si>
    <t>Williams School - Mechanical Upgrades</t>
  </si>
  <si>
    <t>Countryside School - Accessibility Upgrades</t>
  </si>
  <si>
    <t>% Life Left</t>
  </si>
  <si>
    <t>Overall Condition</t>
  </si>
  <si>
    <t>Description</t>
  </si>
  <si>
    <t>Consequence</t>
  </si>
  <si>
    <t>Funding Source</t>
  </si>
  <si>
    <t>Deplorable</t>
  </si>
  <si>
    <t>No Impact</t>
  </si>
  <si>
    <t>Bonding</t>
  </si>
  <si>
    <t>Very bad</t>
  </si>
  <si>
    <t>Bad</t>
  </si>
  <si>
    <t>Small Impact</t>
  </si>
  <si>
    <t>Bonding/MSBA</t>
  </si>
  <si>
    <t>Poor</t>
  </si>
  <si>
    <t>CDBG</t>
  </si>
  <si>
    <t>Slightly below average</t>
  </si>
  <si>
    <t>Average</t>
  </si>
  <si>
    <t>Moderate Impact</t>
  </si>
  <si>
    <t>CPA Eligible</t>
  </si>
  <si>
    <t>Slightly above average</t>
  </si>
  <si>
    <t>Energy Stab. Fund</t>
  </si>
  <si>
    <t>Fair</t>
  </si>
  <si>
    <t>Enterprise Funds</t>
  </si>
  <si>
    <t>Good</t>
  </si>
  <si>
    <t>High Impact</t>
  </si>
  <si>
    <t>Grant</t>
  </si>
  <si>
    <t>Very good</t>
  </si>
  <si>
    <t>Other</t>
  </si>
  <si>
    <t>Excellent</t>
  </si>
  <si>
    <t>Very High Impact</t>
  </si>
  <si>
    <t>Overall Condition input</t>
  </si>
  <si>
    <t>Weight</t>
  </si>
  <si>
    <t>% Life Left as input</t>
  </si>
  <si>
    <t>% Life Left from data</t>
  </si>
  <si>
    <t>Est.Year Installed</t>
  </si>
  <si>
    <t>Est. Service Life (yrs)</t>
  </si>
  <si>
    <t>Overall Condition   0: Worse to 10: Best</t>
  </si>
  <si>
    <t>% Life Left      0: Expired to 100: New</t>
  </si>
  <si>
    <t>CONSEQUENCES OF FAILURE (IF NOT IMPLEMENTING PROGRAM) RATINGS  AND WEIGHTS --0 (No Impact) to 10 (High Impact)</t>
  </si>
  <si>
    <t>City Operations</t>
  </si>
  <si>
    <t>Programs/Services</t>
  </si>
  <si>
    <t>Costs/Savings Ratio</t>
  </si>
  <si>
    <t>Health &amp; Safety</t>
  </si>
  <si>
    <t>Property Damage</t>
  </si>
  <si>
    <t>Quality of Life</t>
  </si>
  <si>
    <t>Dept. Mission or Vision</t>
  </si>
  <si>
    <t>Programs / Services</t>
  </si>
  <si>
    <t>Sum of Weights</t>
  </si>
  <si>
    <t>% Life Left (Dynamic)</t>
  </si>
  <si>
    <t xml:space="preserve"> % Life Left </t>
  </si>
  <si>
    <t>Condition Likelihood Failure</t>
  </si>
  <si>
    <t>% Life Left Likelihood failure</t>
  </si>
  <si>
    <t>Threshold</t>
  </si>
  <si>
    <t>Likelihood of Failure</t>
  </si>
  <si>
    <t>Conseq. Factor</t>
  </si>
  <si>
    <t>Risk Factor</t>
  </si>
  <si>
    <t>Quadrant</t>
  </si>
  <si>
    <t>BUDGET DISTRIBUTION</t>
  </si>
  <si>
    <t>Total</t>
  </si>
  <si>
    <t>Bonding /MSBA</t>
  </si>
  <si>
    <t>Submitted for Re-Use Determination</t>
  </si>
  <si>
    <t xml:space="preserve">Bonding </t>
  </si>
  <si>
    <t>Energy Stabilztn Fund</t>
  </si>
  <si>
    <t>Energy</t>
  </si>
  <si>
    <t>Parks / Open Space</t>
  </si>
  <si>
    <t>Roads/ Paving</t>
  </si>
  <si>
    <t>Large Vehicle/ Equipment</t>
  </si>
  <si>
    <t>Angier School - Renovation or Replacement</t>
  </si>
  <si>
    <t>Ward School - Replace Roof</t>
  </si>
  <si>
    <t>Ward School - Replace Windows and Doors</t>
  </si>
  <si>
    <t>Lincoln Eliot School - Replace Emergency Generator</t>
  </si>
  <si>
    <t>Bigelow School - Roof Replacement</t>
  </si>
  <si>
    <t>Replace Air handlers. Direct Digital Controls conversion for HVAC system.</t>
  </si>
  <si>
    <t>Franklin School - Building Envelope</t>
  </si>
  <si>
    <t>Newton South High School - Mechanical Upgrades</t>
  </si>
  <si>
    <t>Newton South High School - Fire Alarm Upgrades</t>
  </si>
  <si>
    <t>Newton South High School - Electrical Upgrades</t>
  </si>
  <si>
    <t>Mason Rice School - Replace Roof</t>
  </si>
  <si>
    <t>Burr School - Replace Roof</t>
  </si>
  <si>
    <t>Underwood School - Mechanical Upgrades</t>
  </si>
  <si>
    <t>Horace Mann School - Exterior Masonry</t>
  </si>
  <si>
    <t>Prior Year Funding</t>
  </si>
  <si>
    <t>Fire Station #1, Newton Corner - Replace Windows &amp; Doors &amp; Repair Masonry</t>
  </si>
  <si>
    <t>Replace windows and doors and repair/restore masonry.</t>
  </si>
  <si>
    <t>Horace Mann School - Accessibility Upgrades</t>
  </si>
  <si>
    <t>Horace Mann School - Electrical/ Emergency Generator</t>
  </si>
  <si>
    <t>Energy Efficiency / Water Conservation Upgrades to City and School Buildings</t>
  </si>
  <si>
    <t xml:space="preserve">Rebuild accessible ramp. Repair and repoint stone cornice.  Rebuild/reset main entry  stairs and install code-compliant railings.  </t>
  </si>
  <si>
    <t>City Hall - Electrical Upgrades</t>
  </si>
  <si>
    <t>Storm System Assessment</t>
  </si>
  <si>
    <t>Repair Bulloughs Pond Sluice Gate</t>
  </si>
  <si>
    <t>Tree Crew Bucket Truck</t>
  </si>
  <si>
    <t>Tree Crew Log Loader</t>
  </si>
  <si>
    <t>Replace Fire Dept Bucket Truck</t>
  </si>
  <si>
    <t>Hillside Ave - Otis to Austin</t>
  </si>
  <si>
    <t>Midland Ave</t>
  </si>
  <si>
    <t>Melrose Ave</t>
  </si>
  <si>
    <t>Trowbridge Ave</t>
  </si>
  <si>
    <t>Morseland Ave</t>
  </si>
  <si>
    <t>Crystal Lake - Water Filtration System</t>
  </si>
  <si>
    <t xml:space="preserve">Newton Highlands Playground - Phase II Design &amp; Construction </t>
  </si>
  <si>
    <t>Replace Weeks Playground Tennis Courts</t>
  </si>
  <si>
    <t>Replace McGrath Playgound (Warren) Tennis Courts</t>
  </si>
  <si>
    <t>Costs/ Savings Ratio</t>
  </si>
  <si>
    <t>Replace emergency generator, electrical panels and sub-panels.</t>
  </si>
  <si>
    <t>Repair broken roof slates. reflash slates where leaks are occurring(10% =450sf). Repair/replace gutters and downspouts as required(150lf). Pitch rainwater leaders discharge away from building foundations.Repair main concrete ramp slab-on-grade (200sf). Grout concrete railing bases at main entry ramp.  Repair foundation walls (50lf) at left entry ramp and repair concrete ramp deterioration (100sf) and install handrails along both sides (50lf).•Remove and replace right side concrete stairs with new concrete stair and railings(5r).  Repair deteriorated concrete (11r) and add handrails to ride side areaway stair.  Completely rebuild left areaway concrete foundation wall and stairs (11r).•Scrape, prepare surface and paint wood trim(100sf).•Scrape, prepare surface, and repaint architectural canopy at side entrance (30sf)•Replace corrugated FRP canopies over two basement entry areaways with new historically appropriate enclosed shelters(150sf) to prevent snow accumulation in areaways.</t>
  </si>
  <si>
    <t>Old Priority</t>
  </si>
  <si>
    <t>CIP Risk Factor</t>
  </si>
  <si>
    <t>Project Cost</t>
  </si>
  <si>
    <t>Prior FY Funding</t>
  </si>
  <si>
    <t>FY14</t>
  </si>
  <si>
    <t>FY15</t>
  </si>
  <si>
    <t>FY16</t>
  </si>
  <si>
    <t>FY17</t>
  </si>
  <si>
    <t>FY18</t>
  </si>
  <si>
    <t>FY14-FY18 CIP</t>
  </si>
  <si>
    <t>FY19-FY23 CIP</t>
  </si>
  <si>
    <t>FY24-FY28 CIP</t>
  </si>
  <si>
    <t>FY29-FY33 CIP</t>
  </si>
  <si>
    <t>20 YEAR TOTAL</t>
  </si>
  <si>
    <t>NOTES</t>
  </si>
  <si>
    <t>BUILDINGS</t>
  </si>
  <si>
    <t>SCHOOLS</t>
  </si>
  <si>
    <t>Carr Elementary</t>
  </si>
  <si>
    <t>Carr Mechanical</t>
  </si>
  <si>
    <t>Generation - Boiler, Chiller</t>
  </si>
  <si>
    <t>Generation - Air handlers</t>
  </si>
  <si>
    <t>Distribution</t>
  </si>
  <si>
    <t>Controls / EMS</t>
  </si>
  <si>
    <t>Underground Tanks</t>
  </si>
  <si>
    <t>Carr Electrical/Alt Energy</t>
  </si>
  <si>
    <t>Emergency Generator</t>
  </si>
  <si>
    <t>Switch Gear / Panels</t>
  </si>
  <si>
    <t>Lighting and Controls</t>
  </si>
  <si>
    <t>Carr Plumbing + Fire Protection</t>
  </si>
  <si>
    <t>Pumps</t>
  </si>
  <si>
    <t>Fixtures</t>
  </si>
  <si>
    <t>Sprinklers/Fire Alarm</t>
  </si>
  <si>
    <t>Carr Building Envelope</t>
  </si>
  <si>
    <t>Masonry/Walls</t>
  </si>
  <si>
    <t>Windows &amp; Doors</t>
  </si>
  <si>
    <t>Roof</t>
  </si>
  <si>
    <t>Entrance Stairs/Ramps</t>
  </si>
  <si>
    <t>Carr Building Interior</t>
  </si>
  <si>
    <t>Stairs / Elevators</t>
  </si>
  <si>
    <t>Finishes (Flrs, Walls, Ceilgs)</t>
  </si>
  <si>
    <t>Gym Floor</t>
  </si>
  <si>
    <t>Equipment/Furnishing</t>
  </si>
  <si>
    <t>Other-Renovation Project</t>
  </si>
  <si>
    <t>includes roof &amp; windows</t>
  </si>
  <si>
    <t>Angier Elementary</t>
  </si>
  <si>
    <t>Mechanical</t>
  </si>
  <si>
    <t>Electrical/Alt Energy</t>
  </si>
  <si>
    <t>Plumbing + Fire Protection</t>
  </si>
  <si>
    <t>Building Envelope</t>
  </si>
  <si>
    <t>Building Interior</t>
  </si>
  <si>
    <t>Other-Renovation/New Project</t>
  </si>
  <si>
    <t>Cabot Elementary</t>
  </si>
  <si>
    <t xml:space="preserve">Generation - Boilers </t>
  </si>
  <si>
    <t>hot water conversion</t>
  </si>
  <si>
    <t>Underground Tank &amp; Paving</t>
  </si>
  <si>
    <t>Plumbing</t>
  </si>
  <si>
    <t xml:space="preserve"> </t>
  </si>
  <si>
    <t>Modular (4 units)</t>
  </si>
  <si>
    <t>Zervas Elementary</t>
  </si>
  <si>
    <t xml:space="preserve">  </t>
  </si>
  <si>
    <t>Modular (5)</t>
  </si>
  <si>
    <t>Ward Elementary</t>
  </si>
  <si>
    <t>Generation - Boilers</t>
  </si>
  <si>
    <t>includes feasibility study</t>
  </si>
  <si>
    <t>Lincoln-Eliot Elementary</t>
  </si>
  <si>
    <t xml:space="preserve">Generation - Boilers,  </t>
  </si>
  <si>
    <t>Underground Tank</t>
  </si>
  <si>
    <t>w/reno</t>
  </si>
  <si>
    <t>Other (accessibility)</t>
  </si>
  <si>
    <t>Space needs/Modulars</t>
  </si>
  <si>
    <t>Bigelow Middle School</t>
  </si>
  <si>
    <t>Generation - Boilers, Chiller</t>
  </si>
  <si>
    <t>part of stair project</t>
  </si>
  <si>
    <t>wood floor</t>
  </si>
  <si>
    <t>lockers</t>
  </si>
  <si>
    <t>Pierce Elementary</t>
  </si>
  <si>
    <t>hot water?</t>
  </si>
  <si>
    <t>preferred vendor program</t>
  </si>
  <si>
    <t>New Addition</t>
  </si>
  <si>
    <t>Modulars (2)</t>
  </si>
  <si>
    <t>Brown Middle School</t>
  </si>
  <si>
    <t>Undrground Tank Replace</t>
  </si>
  <si>
    <t>Solar Panels</t>
  </si>
  <si>
    <t>Williams Elementary</t>
  </si>
  <si>
    <t>DDC Conversion</t>
  </si>
  <si>
    <t>Design in FY23</t>
  </si>
  <si>
    <t>Oak Hill Middle School</t>
  </si>
  <si>
    <t>Underground Tank Replace</t>
  </si>
  <si>
    <t>old building</t>
  </si>
  <si>
    <t>include cupola</t>
  </si>
  <si>
    <t>Modulars (4)</t>
  </si>
  <si>
    <t>Countryside Elementary</t>
  </si>
  <si>
    <t>mods?</t>
  </si>
  <si>
    <t>Replace Modulars (4)/Addition</t>
  </si>
  <si>
    <t>Day Middle School</t>
  </si>
  <si>
    <t>condensing boiler</t>
  </si>
  <si>
    <t>refinish/replace?</t>
  </si>
  <si>
    <t>Franklin Elementary</t>
  </si>
  <si>
    <t>Newton South High School</t>
  </si>
  <si>
    <t>univents</t>
  </si>
  <si>
    <t>SOA, wood floor</t>
  </si>
  <si>
    <t>Other (Science Labs)</t>
  </si>
  <si>
    <t>Mason-Rice Elementary</t>
  </si>
  <si>
    <t>DDC</t>
  </si>
  <si>
    <t>w/renovation</t>
  </si>
  <si>
    <t>Education Center</t>
  </si>
  <si>
    <t>Interior Finishes</t>
  </si>
  <si>
    <t>Feasibility Study</t>
  </si>
  <si>
    <t>Modular Classrooms</t>
  </si>
  <si>
    <t>Burr Elementary</t>
  </si>
  <si>
    <t>maybe w/reno /addition</t>
  </si>
  <si>
    <t>Modulars</t>
  </si>
  <si>
    <t>Underwood Elementary</t>
  </si>
  <si>
    <t>include relining chimney</t>
  </si>
  <si>
    <t>ashphalt subfloor</t>
  </si>
  <si>
    <t>Horace Mann Elementary</t>
  </si>
  <si>
    <t xml:space="preserve">toilet rooms </t>
  </si>
  <si>
    <t>Bowen Elementary</t>
  </si>
  <si>
    <t>preferred vendor</t>
  </si>
  <si>
    <t>tank and gas conversion</t>
  </si>
  <si>
    <t>Memorial Spaulding Elementary</t>
  </si>
  <si>
    <t xml:space="preserve">Generation - Boilers  </t>
  </si>
  <si>
    <t>hot water conversion?</t>
  </si>
  <si>
    <t>preferred vendor?</t>
  </si>
  <si>
    <t>elevator leak??</t>
  </si>
  <si>
    <t>Newton North High School</t>
  </si>
  <si>
    <t>none</t>
  </si>
  <si>
    <t>$425,000 in 25 years</t>
  </si>
  <si>
    <t>SOA and Gym</t>
  </si>
  <si>
    <t>Other (Pool)</t>
  </si>
  <si>
    <t>Newton South Field House</t>
  </si>
  <si>
    <t>New in 2012</t>
  </si>
  <si>
    <t>Newton South Auto Building</t>
  </si>
  <si>
    <t>SCHOOLS TOTAL</t>
  </si>
  <si>
    <t>MUNICIPAL BUILDINGS</t>
  </si>
  <si>
    <t>PARKS and RECREATION</t>
  </si>
  <si>
    <t>Parks HQs/Newton Corner</t>
  </si>
  <si>
    <t>CPA</t>
  </si>
  <si>
    <t>Parks and Rec/Crecent Street</t>
  </si>
  <si>
    <t>Parks and Recreation Garage</t>
  </si>
  <si>
    <t>Crystal Lake Bathhouse</t>
  </si>
  <si>
    <t>envelope, columns</t>
  </si>
  <si>
    <t>replace</t>
  </si>
  <si>
    <t>New/Renovated Building</t>
  </si>
  <si>
    <t>Renovate/repl bathhouse</t>
  </si>
  <si>
    <t>Gath Pool Building</t>
  </si>
  <si>
    <t>pool heater</t>
  </si>
  <si>
    <t>pool filtration system, piping</t>
  </si>
  <si>
    <t>New Pool Facility</t>
  </si>
  <si>
    <t>New Pool facility</t>
  </si>
  <si>
    <t>Albemarle Fieldhouse</t>
  </si>
  <si>
    <t>mech, elec, roof, access</t>
  </si>
  <si>
    <t>Emerson Community Center</t>
  </si>
  <si>
    <t>abatement?</t>
  </si>
  <si>
    <t>envelope issues by others</t>
  </si>
  <si>
    <t>Lower Falls CC</t>
  </si>
  <si>
    <t>gym floor, carpet to vct</t>
  </si>
  <si>
    <t>Pelligrini Park Fieldhouse</t>
  </si>
  <si>
    <t>gas conversion</t>
  </si>
  <si>
    <t>includes masonry</t>
  </si>
  <si>
    <t>JCW Recreation Center - The Hut</t>
  </si>
  <si>
    <t>mech, elec, envelope</t>
  </si>
  <si>
    <t>Burr Park Field House</t>
  </si>
  <si>
    <t>private day care</t>
  </si>
  <si>
    <t>Nahanton Park Fieldhouse</t>
  </si>
  <si>
    <t>Auburndale Cove Fieldhouse</t>
  </si>
  <si>
    <t>elec, toilets, envelope</t>
  </si>
  <si>
    <t>Cabot Park Fieldhouse</t>
  </si>
  <si>
    <t>Bulloughs Pond Shelter</t>
  </si>
  <si>
    <t>Highlands Fieldhouse</t>
  </si>
  <si>
    <t>Not Needed, Demolish, replace?</t>
  </si>
  <si>
    <t>Upper Falls Fieldhouse</t>
  </si>
  <si>
    <t>Newton Center Metal Storage</t>
  </si>
  <si>
    <t>Not Needed, Demolish</t>
  </si>
  <si>
    <t>Forte Park</t>
  </si>
  <si>
    <t>Relatively new</t>
  </si>
  <si>
    <t>Storage Building - 52 Elliot</t>
  </si>
  <si>
    <t>PARKS and REC TOTAL</t>
  </si>
  <si>
    <t>PUBLIC SAFETY</t>
  </si>
  <si>
    <t>Police Headquarters</t>
  </si>
  <si>
    <t>Addition/Consolidation</t>
  </si>
  <si>
    <t>addition / consolidate?</t>
  </si>
  <si>
    <t>Police Garage</t>
  </si>
  <si>
    <t>Bulk Storage</t>
  </si>
  <si>
    <t>evidence storage</t>
  </si>
  <si>
    <t>long term plan for site?</t>
  </si>
  <si>
    <t>Police Annex</t>
  </si>
  <si>
    <t>Fire Station #1</t>
  </si>
  <si>
    <t>Renovation Replacement</t>
  </si>
  <si>
    <t>per CIP</t>
  </si>
  <si>
    <t>Fire Station #2</t>
  </si>
  <si>
    <t>Fire Station #4</t>
  </si>
  <si>
    <t>New 2007</t>
  </si>
  <si>
    <t>Fire Station #7</t>
  </si>
  <si>
    <t>New 2011</t>
  </si>
  <si>
    <t>Fire Station #10</t>
  </si>
  <si>
    <t>New Fire Station</t>
  </si>
  <si>
    <t>Waban Hill Radio Tower/Building</t>
  </si>
  <si>
    <t>New Comm Tower Bldg</t>
  </si>
  <si>
    <t>New in 2012?</t>
  </si>
  <si>
    <t>PUBLIC SAFETY TOTAL</t>
  </si>
  <si>
    <t>PUBLIC WORKS</t>
  </si>
  <si>
    <t>Crafts Street Ops Center/Garage</t>
  </si>
  <si>
    <t>Crafts Street Salt Storage Shed</t>
  </si>
  <si>
    <t>Replace</t>
  </si>
  <si>
    <t>DPW Water Utilities</t>
  </si>
  <si>
    <t>Crafts Street Stable</t>
  </si>
  <si>
    <t>interior renovation</t>
  </si>
  <si>
    <t>long term use? Program?</t>
  </si>
  <si>
    <t>Elliot Street Ops Center</t>
  </si>
  <si>
    <t>Elliot Street Garage</t>
  </si>
  <si>
    <t>Elliot Street Sand Salt Shed</t>
  </si>
  <si>
    <t>structural and envelope</t>
  </si>
  <si>
    <t>Crafts Street Quonset Hut</t>
  </si>
  <si>
    <t>Rumford Ave Facility</t>
  </si>
  <si>
    <t>PUBLIC WORKS TOTAL</t>
  </si>
  <si>
    <t>ADMINISTRATION / OTHER</t>
  </si>
  <si>
    <t>City Hall</t>
  </si>
  <si>
    <t>$1M for slate</t>
  </si>
  <si>
    <t>Kitchen/Café Upgrades</t>
  </si>
  <si>
    <t>Public Buildings Department</t>
  </si>
  <si>
    <t>replace?</t>
  </si>
  <si>
    <t>Brigham House</t>
  </si>
  <si>
    <t>Long term lease</t>
  </si>
  <si>
    <t>Kennard</t>
  </si>
  <si>
    <t>Public Buildings?</t>
  </si>
  <si>
    <t>septic system</t>
  </si>
  <si>
    <t>incl roof</t>
  </si>
  <si>
    <t>only if use is federally funded</t>
  </si>
  <si>
    <t>Long term use?</t>
  </si>
  <si>
    <t>Winchester Street Garage</t>
  </si>
  <si>
    <t>Main Library</t>
  </si>
  <si>
    <t>Generation - Boilers/chillers</t>
  </si>
  <si>
    <t>boilers &amp; chillers</t>
  </si>
  <si>
    <t>Auburndale Library</t>
  </si>
  <si>
    <t>Re-Use?</t>
  </si>
  <si>
    <t>replace oil tank too</t>
  </si>
  <si>
    <t>water infiltration</t>
  </si>
  <si>
    <t>no accessible toilet</t>
  </si>
  <si>
    <t>Long term use?  Re-use?</t>
  </si>
  <si>
    <t>Nonantum Library</t>
  </si>
  <si>
    <t>Re-Use, long term use?</t>
  </si>
  <si>
    <t>Waban library</t>
  </si>
  <si>
    <t>Object Storage</t>
  </si>
  <si>
    <t>Hyde Community Center</t>
  </si>
  <si>
    <t>Health Department</t>
  </si>
  <si>
    <t>Re-Use</t>
  </si>
  <si>
    <t>ADMIN / OTHER TOTAL</t>
  </si>
  <si>
    <t>MUNICIPAL BLDGS TOTAL</t>
  </si>
  <si>
    <t>BUILDINGS TOTAL</t>
  </si>
  <si>
    <t>ROADS / PAVING</t>
  </si>
  <si>
    <t>ROADS and BRIDGES</t>
  </si>
  <si>
    <t>PCI</t>
  </si>
  <si>
    <t>Cold Plane/Pave Streets</t>
  </si>
  <si>
    <t>Lowell Ave (Comm to Austin)</t>
  </si>
  <si>
    <t>CH90</t>
  </si>
  <si>
    <t>Homer St (Comm to Walnut)</t>
  </si>
  <si>
    <t>Wolcott St</t>
  </si>
  <si>
    <t>Webster St</t>
  </si>
  <si>
    <t>Hawthorn St</t>
  </si>
  <si>
    <t>Weldon Road</t>
  </si>
  <si>
    <t>Regent St</t>
  </si>
  <si>
    <t>Lenox St</t>
  </si>
  <si>
    <t>Summit St</t>
  </si>
  <si>
    <t>Bellevue St</t>
  </si>
  <si>
    <t>Washington (Elm to Pike)</t>
  </si>
  <si>
    <t>Washington (East  Walnut to Court)</t>
  </si>
  <si>
    <t>Morton St</t>
  </si>
  <si>
    <t>Waban Ave</t>
  </si>
  <si>
    <t>Hunnewell Ave</t>
  </si>
  <si>
    <t>Country Club Rd (Rosalie to Cross Hill)</t>
  </si>
  <si>
    <t>Cross Hill Rd</t>
  </si>
  <si>
    <t>Saw Mill Brook Parkway</t>
  </si>
  <si>
    <t>Hillside Ave</t>
  </si>
  <si>
    <t>Carver Rd</t>
  </si>
  <si>
    <t>Randolph St</t>
  </si>
  <si>
    <t>Lowell Ave (Hull to Austin)</t>
  </si>
  <si>
    <t>Melrose St</t>
  </si>
  <si>
    <t xml:space="preserve">Staniford </t>
  </si>
  <si>
    <t xml:space="preserve">Freeman </t>
  </si>
  <si>
    <t>Lake Av</t>
  </si>
  <si>
    <t>Crystal St</t>
  </si>
  <si>
    <t>Berwick Rd</t>
  </si>
  <si>
    <t>Oak St</t>
  </si>
  <si>
    <t>Grove St (Auburn to Woodland)</t>
  </si>
  <si>
    <t>Central St (Grove to Leighton)</t>
  </si>
  <si>
    <t>Bridge St</t>
  </si>
  <si>
    <t>Temple St</t>
  </si>
  <si>
    <t>Walnut St (Comm to Newtonville)</t>
  </si>
  <si>
    <t>Linwood Ave</t>
  </si>
  <si>
    <t>Walnut Place (N)</t>
  </si>
  <si>
    <t>Newtonville Ave (Harvard to Walnut)</t>
  </si>
  <si>
    <t>Daniel St</t>
  </si>
  <si>
    <t>Ridge Ave</t>
  </si>
  <si>
    <t>Collins Rd</t>
  </si>
  <si>
    <t>Crafts St</t>
  </si>
  <si>
    <t>Ward St</t>
  </si>
  <si>
    <t>Parker St (Cypress to Boylston)</t>
  </si>
  <si>
    <t>Varick Road</t>
  </si>
  <si>
    <t>Annawan Rd</t>
  </si>
  <si>
    <t>Bennington St</t>
  </si>
  <si>
    <t>Bound Brook Rd</t>
  </si>
  <si>
    <t>Tower Rd</t>
  </si>
  <si>
    <t>Henshaw St</t>
  </si>
  <si>
    <t>Henshaw Terrace</t>
  </si>
  <si>
    <t>Kilburn Rd</t>
  </si>
  <si>
    <t>Vine St (Wayne to LaGrange)</t>
  </si>
  <si>
    <t>Fuller (Chestnut to Comm W)</t>
  </si>
  <si>
    <t>Town House Dr</t>
  </si>
  <si>
    <t>Mill St</t>
  </si>
  <si>
    <t>Glen Road</t>
  </si>
  <si>
    <t>Stiles Terrace</t>
  </si>
  <si>
    <t>Westminster Rd</t>
  </si>
  <si>
    <t>Deforest Rd</t>
  </si>
  <si>
    <t>Pine Grove Ave</t>
  </si>
  <si>
    <t>Clearwater Rd</t>
  </si>
  <si>
    <t>Vernon St</t>
  </si>
  <si>
    <t>Eldredge St</t>
  </si>
  <si>
    <t>Elmwood St</t>
  </si>
  <si>
    <t>Beacon St (Chestnut to Centre)</t>
  </si>
  <si>
    <t>Pembroke St</t>
  </si>
  <si>
    <t>Durant St</t>
  </si>
  <si>
    <t>Hanson Rd</t>
  </si>
  <si>
    <t>Bishopsgate Rd</t>
  </si>
  <si>
    <t>Hammondswood Rd</t>
  </si>
  <si>
    <t>Monadnock Rd</t>
  </si>
  <si>
    <t>Otis Street</t>
  </si>
  <si>
    <t xml:space="preserve">Adams Street </t>
  </si>
  <si>
    <t>Circuit Ave</t>
  </si>
  <si>
    <t>Converse Ave</t>
  </si>
  <si>
    <t>Ruthven Rd</t>
  </si>
  <si>
    <t>Albemarle</t>
  </si>
  <si>
    <t>Cottage St</t>
  </si>
  <si>
    <t>Prince St</t>
  </si>
  <si>
    <t>Berkeley St</t>
  </si>
  <si>
    <t>Cherry St</t>
  </si>
  <si>
    <t>Highland Ave (Lowell to Chestnut)</t>
  </si>
  <si>
    <t>Grafton St</t>
  </si>
  <si>
    <t>Bald Pate Hill</t>
  </si>
  <si>
    <t>Waban St</t>
  </si>
  <si>
    <t>Lyman St</t>
  </si>
  <si>
    <t>Lee Rd</t>
  </si>
  <si>
    <t>Colbert Rd</t>
  </si>
  <si>
    <t>East Colbert Rd</t>
  </si>
  <si>
    <t>Oak Cliff Rd</t>
  </si>
  <si>
    <t>Whittier Rd</t>
  </si>
  <si>
    <t>Paul St</t>
  </si>
  <si>
    <t>Allerton Rd (Hereward to Centre)</t>
  </si>
  <si>
    <t>Locksley Rd</t>
  </si>
  <si>
    <t>Rotherwood Rd</t>
  </si>
  <si>
    <t>Woodcliff Rd</t>
  </si>
  <si>
    <t>Rockledge Rd</t>
  </si>
  <si>
    <t>Miller Rd</t>
  </si>
  <si>
    <t>Cloverdale Rd (Clark to Miller)</t>
  </si>
  <si>
    <t>Payne Rd</t>
  </si>
  <si>
    <t>Landgdon Rd</t>
  </si>
  <si>
    <t>Highland St (Wash. to Chestnut)</t>
  </si>
  <si>
    <t>Wales Street Bridge</t>
  </si>
  <si>
    <t>ROADS / BRIDGES TOTAL</t>
  </si>
  <si>
    <t>PARKING LOTS and METERS</t>
  </si>
  <si>
    <t>Metered Lots</t>
  </si>
  <si>
    <t>Municipal Lots</t>
  </si>
  <si>
    <t>School Lots</t>
  </si>
  <si>
    <t>Parking Meters</t>
  </si>
  <si>
    <t>PRKG LOTS / METERS TOTAL</t>
  </si>
  <si>
    <t>SIDEWALKS/BRIDGES</t>
  </si>
  <si>
    <t>Sidewalks</t>
  </si>
  <si>
    <t>SIDEWALKS TOTAL</t>
  </si>
  <si>
    <t>STREET/TRAFFIC LIGHTS</t>
  </si>
  <si>
    <t>ST/TRAFFIC LIGHTS TOTAL</t>
  </si>
  <si>
    <t>ROADS TOTAL</t>
  </si>
  <si>
    <t>WATER</t>
  </si>
  <si>
    <t>WATER PIPES</t>
  </si>
  <si>
    <t>Pipe Replacemt, Cleaning &amp; Lining</t>
  </si>
  <si>
    <t>Replace Water Meters</t>
  </si>
  <si>
    <t>WATER PIPES TOTAL</t>
  </si>
  <si>
    <t>PUMP STATIONS</t>
  </si>
  <si>
    <t>Manet Road</t>
  </si>
  <si>
    <t>Station 10 - Dedham Street</t>
  </si>
  <si>
    <t>Herrick Road</t>
  </si>
  <si>
    <t>PUMP STATIONS TOTAL</t>
  </si>
  <si>
    <t>ELEVATED WATER TANKS</t>
  </si>
  <si>
    <t>Water Tank 1 - Stanton Ave</t>
  </si>
  <si>
    <t>Removal</t>
  </si>
  <si>
    <t>Water Tank 2 - Winchester</t>
  </si>
  <si>
    <t>Water Tank 3 - Oak Hill</t>
  </si>
  <si>
    <t>WATER TANKS TOTAL</t>
  </si>
  <si>
    <t>RESERVOIR</t>
  </si>
  <si>
    <t>Waban Hill Underground Reservoir</t>
  </si>
  <si>
    <t>Replace roof</t>
  </si>
  <si>
    <t>Central Core</t>
  </si>
  <si>
    <t>Inspect/line central core</t>
  </si>
  <si>
    <t>RESEVOIR TOTAL</t>
  </si>
  <si>
    <t>WATER TOTAL</t>
  </si>
  <si>
    <t>SEWER</t>
  </si>
  <si>
    <t>SEWER PIPES</t>
  </si>
  <si>
    <t>Inflow/Infiltration - W. Newton</t>
  </si>
  <si>
    <t>I/I removal</t>
  </si>
  <si>
    <t>Inflow/Infiltration - Lower Falls</t>
  </si>
  <si>
    <t>Inflow/Infiltration - Chestnut Hill</t>
  </si>
  <si>
    <t>Inflow/Infiltration - Newton Ctr</t>
  </si>
  <si>
    <t>Inflow/Infiltration - Nonantum</t>
  </si>
  <si>
    <t>SEWER PIPES TOTAL</t>
  </si>
  <si>
    <t>Quinobequin Road PS</t>
  </si>
  <si>
    <t>Pump replacemt/maint.</t>
  </si>
  <si>
    <t>Edgewater Park PS</t>
  </si>
  <si>
    <t>Islington Road PS</t>
  </si>
  <si>
    <t>Prairie Avenue PS</t>
  </si>
  <si>
    <t>Longfellow Road PS</t>
  </si>
  <si>
    <t>Waban Avenue PS</t>
  </si>
  <si>
    <t>Oldham Road PS</t>
  </si>
  <si>
    <t>Hamlet Street PS</t>
  </si>
  <si>
    <t>Grayson Lane PS</t>
  </si>
  <si>
    <t>SEWER TOTAL</t>
  </si>
  <si>
    <t>STORM PIPES</t>
  </si>
  <si>
    <t>Storm Pipes</t>
  </si>
  <si>
    <t>STORM PIPES TOTAL</t>
  </si>
  <si>
    <t>Dresser Pond Pump Station</t>
  </si>
  <si>
    <t>Building repairs</t>
  </si>
  <si>
    <t>PONDS</t>
  </si>
  <si>
    <t>Bulloughs Pond ( sluice gate)</t>
  </si>
  <si>
    <t>City Hall Ponds</t>
  </si>
  <si>
    <t>Sediment removal</t>
  </si>
  <si>
    <t>PONDS TOTAL</t>
  </si>
  <si>
    <t>BROOK WALLS/CULVERTS</t>
  </si>
  <si>
    <t>Cheescake Brook Walls</t>
  </si>
  <si>
    <t>Laundry Brook Culverts</t>
  </si>
  <si>
    <t>BRK WALLS/CULVERTS TOTAL</t>
  </si>
  <si>
    <t>PARKS / OPEN SPACE</t>
  </si>
  <si>
    <t>PARKS/PLAYGROUNDS</t>
  </si>
  <si>
    <t>Newton Highlands Playground</t>
  </si>
  <si>
    <t>Access Drive/Parking</t>
  </si>
  <si>
    <t>Storm Drainage</t>
  </si>
  <si>
    <t>Athletic Fields/Courts/Track</t>
  </si>
  <si>
    <t>baseball, courts, football</t>
  </si>
  <si>
    <t>Benches / Bleachers</t>
  </si>
  <si>
    <t>Play Structures</t>
  </si>
  <si>
    <t>Sidewalks/Pathways/Trails</t>
  </si>
  <si>
    <t>Lighting/Security</t>
  </si>
  <si>
    <t>Signage/ Fencing</t>
  </si>
  <si>
    <t>Water Fountains/Irrigation</t>
  </si>
  <si>
    <t>Concession Stands/Toilets</t>
  </si>
  <si>
    <t>private funding?</t>
  </si>
  <si>
    <t>Other - Design/Engineering</t>
  </si>
  <si>
    <t>CPC &amp; Private Funding</t>
  </si>
  <si>
    <t>Gath Pool</t>
  </si>
  <si>
    <t>Design/Const New Pool Facility</t>
  </si>
  <si>
    <t>Fundraising?</t>
  </si>
  <si>
    <t>Upper Falls/Braceland Playground</t>
  </si>
  <si>
    <t>Shelter</t>
  </si>
  <si>
    <t>Crystal Lake</t>
  </si>
  <si>
    <t>water filtration system</t>
  </si>
  <si>
    <t>Pellegrini Playground</t>
  </si>
  <si>
    <t>cdbg funding</t>
  </si>
  <si>
    <t>fields?</t>
  </si>
  <si>
    <t>fy13 cdbg</t>
  </si>
  <si>
    <t>cdbg funding?</t>
  </si>
  <si>
    <t>Stearn's Playground</t>
  </si>
  <si>
    <t>CPC funding</t>
  </si>
  <si>
    <t>Halloran Sports Complex</t>
  </si>
  <si>
    <t>Cabot Park</t>
  </si>
  <si>
    <t>Other (master plan)</t>
  </si>
  <si>
    <r>
      <t xml:space="preserve">McGrath Playground </t>
    </r>
    <r>
      <rPr>
        <sz val="11"/>
        <color theme="1"/>
        <rFont val="Calibri"/>
        <family val="2"/>
        <scheme val="minor"/>
      </rPr>
      <t>(aka Warren)</t>
    </r>
  </si>
  <si>
    <t>4 tennis courts</t>
  </si>
  <si>
    <t>McGrath Playground</t>
  </si>
  <si>
    <t>Weeks Playground</t>
  </si>
  <si>
    <t>Newton Center</t>
  </si>
  <si>
    <t>cdbg access</t>
  </si>
  <si>
    <t>Cold Spring Park</t>
  </si>
  <si>
    <t>PARKS/PLAYGDS TOTAL</t>
  </si>
  <si>
    <t>SCHOOL GROUNDS</t>
  </si>
  <si>
    <t>Day Middle School?</t>
  </si>
  <si>
    <t>challenge course only</t>
  </si>
  <si>
    <t>Brown Middle School?</t>
  </si>
  <si>
    <t>tennis courts</t>
  </si>
  <si>
    <t>Lincoln Eliot Elementary</t>
  </si>
  <si>
    <t>Mason Rice Elementary</t>
  </si>
  <si>
    <t>SCHOOL GROUNDS TOTAL</t>
  </si>
  <si>
    <t>CEMETERIES/HISTORIC SITES</t>
  </si>
  <si>
    <t>East Burying Grounds</t>
  </si>
  <si>
    <t>West Burying Grounds</t>
  </si>
  <si>
    <t>Burying Grounds Fencing</t>
  </si>
  <si>
    <t>City Hall Historic Landscape</t>
  </si>
  <si>
    <t>Farlow and Chaffin Parks</t>
  </si>
  <si>
    <t>HISTORIC SITES TOTAL</t>
  </si>
  <si>
    <t>PARKS TOTAL</t>
  </si>
  <si>
    <t>LARGE VEHICLES / EQUIPMENT</t>
  </si>
  <si>
    <t>FIRE DEPARTMENT</t>
  </si>
  <si>
    <t>Replace Ladder 1</t>
  </si>
  <si>
    <t>Replace Ladder 2</t>
  </si>
  <si>
    <t>Replace Ladder 3</t>
  </si>
  <si>
    <t>Replace Engine 1</t>
  </si>
  <si>
    <t>Replace Engine 2</t>
  </si>
  <si>
    <t>Replace Engine 3</t>
  </si>
  <si>
    <t>Replace Engine 4</t>
  </si>
  <si>
    <t>Replace Engine 7</t>
  </si>
  <si>
    <t>Replace Engine 10</t>
  </si>
  <si>
    <t>Heavy Duty Rescue Truck</t>
  </si>
  <si>
    <t>Replace Bucket Truck</t>
  </si>
  <si>
    <t>Replace Wires Communication Truck</t>
  </si>
  <si>
    <t>Cascade/Lighting Truck</t>
  </si>
  <si>
    <t>Replace SCBA</t>
  </si>
  <si>
    <t>Replace Firefighter Turnout Gear</t>
  </si>
  <si>
    <t>FIRE DEPARTMENT TOTAL</t>
  </si>
  <si>
    <t xml:space="preserve">DPW </t>
  </si>
  <si>
    <t>Street Sweepers ($172K each)</t>
  </si>
  <si>
    <t>2 Ton Dump Trucks ($150K)</t>
  </si>
  <si>
    <t>Excavator ($270K)</t>
  </si>
  <si>
    <t>Packer</t>
  </si>
  <si>
    <t>Do All</t>
  </si>
  <si>
    <t>Backhoe Loader ($110K)</t>
  </si>
  <si>
    <t>Bombadier ($125K)</t>
  </si>
  <si>
    <t>Loader ($160K)</t>
  </si>
  <si>
    <t>Backhoe</t>
  </si>
  <si>
    <t>Jet Truck</t>
  </si>
  <si>
    <t>10 Wheeler Truck</t>
  </si>
  <si>
    <t>bought used in fy13</t>
  </si>
  <si>
    <t>Multi-Purpose Chip Truck</t>
  </si>
  <si>
    <t>Large Chipper</t>
  </si>
  <si>
    <t>PARKS / REC TOTAL</t>
  </si>
  <si>
    <t>INFORMATION TECHNOLOGY</t>
  </si>
  <si>
    <t>Citywide IT Data Network</t>
  </si>
  <si>
    <t>VEHICLES/EQUIPMT TOTAL</t>
  </si>
  <si>
    <t>LONG RANGE PLAN TOTAL</t>
  </si>
  <si>
    <t>Water Pump - Rebuild and Repair Dedham Street Water Pump</t>
  </si>
  <si>
    <t xml:space="preserve">Webster St. - Clean and Line Water Main on Webster St </t>
  </si>
  <si>
    <t>master control panel</t>
  </si>
  <si>
    <t xml:space="preserve">Escalation factor: </t>
  </si>
  <si>
    <t>FY2014 Road Work</t>
  </si>
  <si>
    <t>FY2015 Road Work</t>
  </si>
  <si>
    <t>FY2016 Road Work</t>
  </si>
  <si>
    <t>Dedham St (Brookline to W.R.line)</t>
  </si>
  <si>
    <t>Chapter 90 Total</t>
  </si>
  <si>
    <t>FY2017 Road Work</t>
  </si>
  <si>
    <t>FY2018 Road Work</t>
  </si>
  <si>
    <t>in cip - first priority</t>
  </si>
  <si>
    <t>roof leaks, sheathing</t>
  </si>
  <si>
    <t>Other (Accessibility)</t>
  </si>
  <si>
    <t>Bond/MSBA</t>
  </si>
  <si>
    <t>Feas. In FY23</t>
  </si>
  <si>
    <t>75,000 sf x $350/sf x 1.33</t>
  </si>
  <si>
    <t xml:space="preserve">tanks not capital, paving </t>
  </si>
  <si>
    <t>ISD ADA rear entrance?</t>
  </si>
  <si>
    <t>on-going issues</t>
  </si>
  <si>
    <t>ext. stair water infiltration</t>
  </si>
  <si>
    <t>4 mods+sprinklers FY14, pre-k</t>
  </si>
  <si>
    <t>efficient condensing boiler</t>
  </si>
  <si>
    <t>Pre-K?</t>
  </si>
  <si>
    <t>lift in FY13 &amp; elevator</t>
  </si>
  <si>
    <t>repairs in 2012 to extend life</t>
  </si>
  <si>
    <t>long term use for?</t>
  </si>
  <si>
    <t>Lake Ave</t>
  </si>
  <si>
    <t>Berwick Road</t>
  </si>
  <si>
    <t>Crystal Street</t>
  </si>
  <si>
    <t>Walnut Place</t>
  </si>
  <si>
    <t>Tower Road</t>
  </si>
  <si>
    <t>Charles St./Auburn St</t>
  </si>
  <si>
    <t>Broadway</t>
  </si>
  <si>
    <t>Adams Street</t>
  </si>
  <si>
    <t>Linwood Ave (Crafts to Adam)</t>
  </si>
  <si>
    <t>Linwood Ave (Crafts to Watertown)</t>
  </si>
  <si>
    <t>Nevada Street</t>
  </si>
  <si>
    <t>Crafts St - Waltham to Washington</t>
  </si>
  <si>
    <t>Ward (Elsmore to Morseland)</t>
  </si>
  <si>
    <t>Chestnut Street</t>
  </si>
  <si>
    <t>California Street</t>
  </si>
  <si>
    <t>Pleaseant St. (Cherry to Waltham)</t>
  </si>
  <si>
    <t>Walnut St (Crafts to Washington)</t>
  </si>
  <si>
    <t>Cherry St (Derby to Washington)</t>
  </si>
  <si>
    <t>Walnut St - Homer to Boylston</t>
  </si>
  <si>
    <t>Parker St - Cypress to Boylston</t>
  </si>
  <si>
    <t>Otis - Forest to Walnut</t>
  </si>
  <si>
    <t>Waban Ave - Nehoiden to Collins</t>
  </si>
  <si>
    <t>Beacon St - Chestnut to Centre</t>
  </si>
  <si>
    <t>Centre St - Washington to Carlton</t>
  </si>
  <si>
    <t>Waban St - Waban Pk to Hovey</t>
  </si>
  <si>
    <t xml:space="preserve">Vernon St </t>
  </si>
  <si>
    <t>Hillside road - Walnut to Bowdin</t>
  </si>
  <si>
    <t>Highland St - Washington to Chestnut</t>
  </si>
  <si>
    <t>Dedham St - Brookline to W Roxbury line</t>
  </si>
  <si>
    <t>Langdon Ave - Surry to Cabot</t>
  </si>
  <si>
    <t>Woodcliffe Rd- Centre to Boylston</t>
  </si>
  <si>
    <t>Berkeley St - Sterling to Chestnut</t>
  </si>
  <si>
    <t>Mayflower Terr</t>
  </si>
  <si>
    <t>Proctor St</t>
  </si>
  <si>
    <t>Southgate Pk</t>
  </si>
  <si>
    <t>Solon St</t>
  </si>
  <si>
    <t xml:space="preserve">Stony Brae Rd </t>
  </si>
  <si>
    <t>Aberdeen St</t>
  </si>
  <si>
    <t>Fayette St/Pl</t>
  </si>
  <si>
    <t>Albion St/Pl</t>
  </si>
  <si>
    <t>Alden St</t>
  </si>
  <si>
    <t>Butts St</t>
  </si>
  <si>
    <t>Boyd St</t>
  </si>
  <si>
    <t>Mountfort Rd</t>
  </si>
  <si>
    <t>Henshaw St/Pl/Tr</t>
  </si>
  <si>
    <t>Greenough St</t>
  </si>
  <si>
    <t>Clyde St</t>
  </si>
  <si>
    <t>Algonquin Rd</t>
  </si>
  <si>
    <t>Allen Pl</t>
  </si>
  <si>
    <t>Allerton Rd</t>
  </si>
  <si>
    <t>Allison St</t>
  </si>
  <si>
    <t>Allston St</t>
  </si>
  <si>
    <t>Arlington St</t>
  </si>
  <si>
    <t>DPW Total</t>
  </si>
  <si>
    <t>Water Total</t>
  </si>
  <si>
    <t>Sewer Total</t>
  </si>
  <si>
    <t>Elliot Street PS - grinder</t>
  </si>
  <si>
    <t>Street Lights - LEDs</t>
  </si>
  <si>
    <t>MWRA</t>
  </si>
  <si>
    <t>Water Bond</t>
  </si>
  <si>
    <t>Fire Flow Pipe Replacemt / Upgrades</t>
  </si>
  <si>
    <t>FY14 Fire Flow Upgrades</t>
  </si>
  <si>
    <t>FY15 Fire Flow Upgrades</t>
  </si>
  <si>
    <t>Water Quality Upgrades - Cleaning &amp; Lining</t>
  </si>
  <si>
    <t>Aspen Ave</t>
  </si>
  <si>
    <t>Auburn St</t>
  </si>
  <si>
    <t xml:space="preserve">FY14 Water Quality Upgrades </t>
  </si>
  <si>
    <t xml:space="preserve">FY16 Water Quality Upgrades </t>
  </si>
  <si>
    <t xml:space="preserve">FY17 Water Quality Upgrades </t>
  </si>
  <si>
    <t xml:space="preserve">FY18 Water Quality Upgrades </t>
  </si>
  <si>
    <t>Pearl Street</t>
  </si>
  <si>
    <t>Police Station HQ</t>
  </si>
  <si>
    <t>Ward School</t>
  </si>
  <si>
    <t>Pleasant Street</t>
  </si>
  <si>
    <t>Pelham Street</t>
  </si>
  <si>
    <t>w/Wellesley, to meet safety req'ts</t>
  </si>
  <si>
    <t>Footbridges - 2 at Gath Pool</t>
  </si>
  <si>
    <t xml:space="preserve">Replace emergency generator with smaller unit and install battery back-up emergency egress lighting system. </t>
  </si>
  <si>
    <t>Upgrade fire alarm system to be fully addressable.</t>
  </si>
  <si>
    <t>Codes/ Health &amp; Safety</t>
  </si>
  <si>
    <t>Peirce Elementary</t>
  </si>
  <si>
    <t>Peirce School - Mechanical Upgrades</t>
  </si>
  <si>
    <t>Peirce School - Electrical Upgrades</t>
  </si>
  <si>
    <t>Peirce School - Plumbing Upgrades</t>
  </si>
  <si>
    <t xml:space="preserve">Peirce School - Accessibility Upgrades </t>
  </si>
  <si>
    <t>Replace 2nd boiler and associated equipment, distribution and univents. Boilers are 54 years old.  Replace one boiler in the first year.</t>
  </si>
  <si>
    <t>Carr School - Building Renovation</t>
  </si>
  <si>
    <t>Future building renovation will address hardware, toilets, elevator, etc. (stage access, railings signage, water fountains).</t>
  </si>
  <si>
    <t>Ward School - Accessible Entrance</t>
  </si>
  <si>
    <t>Toilet rooms &amp; upgrades for pre-k</t>
  </si>
  <si>
    <t>Frame bent</t>
  </si>
  <si>
    <t>Clam Truck</t>
  </si>
  <si>
    <t>Underground station built in 1994.  Contains 2 (3 hp pumps). Replace rotating assembly. Pumps and motors replaced in fy 10</t>
  </si>
  <si>
    <t>Pumps and motors replaced in fy 09</t>
  </si>
  <si>
    <t>Replace grinder moter (fy15)</t>
  </si>
  <si>
    <t>2001 engineering study: 38 culverts totalling 11,326 lf inspected.  Approx 250lf required repairs due to exposed rebar and erosion; significant cleaning required for entire length</t>
  </si>
  <si>
    <t>Station contains one 60 hp pump. Replace pump in fy 15. Pumps to fill Oak Hill Storage Tank</t>
  </si>
  <si>
    <t>ADA Curb Cuts - CDBG</t>
  </si>
  <si>
    <t>new condensing boilers</t>
  </si>
  <si>
    <t>Replace air handlers and roof top equipment and remove underground storage tanks.</t>
  </si>
  <si>
    <t>Replace emergency generator and electrical upgrades.</t>
  </si>
  <si>
    <t>Crafts Street Garage - Building Envelope &amp; Roof Repair/ Replacemt</t>
  </si>
  <si>
    <t xml:space="preserve">Repair the aluminum cap flashing(50lf) at upper roof.•Remove existing main roof, cut back all tree limbs and install new EPDM Roof(22,000sf).  FY13 includes Design and phase 1 construction.  FY14 includes phase 2 construction.Repair /rebuild addition that has settled 2 1/2"; potential impact to structure and systems. . Replace lower roof parapet when replacing complete lower roof.  Repair rear 1919 masonry veneer. </t>
  </si>
  <si>
    <t>concrete platforms</t>
  </si>
  <si>
    <t>Fire Station #1, Newton Corner - Replace Tanks</t>
  </si>
  <si>
    <t>Replace Underground Tank &amp; Paving</t>
  </si>
  <si>
    <t>Bowen School - Roof Replacement</t>
  </si>
  <si>
    <t>Chapt 90/ Alt Funds</t>
  </si>
  <si>
    <t>Footbridge is in poor condition and is not wheelchair accessible. Footbridge is part of evacuation route for Day MS.</t>
  </si>
  <si>
    <t>Sidewalk Improvements -Provide ADA Access Curb Cuts </t>
  </si>
  <si>
    <t>Replace Gath/Albemarle Foot Bridge</t>
  </si>
  <si>
    <t>CDBG Funding?</t>
  </si>
  <si>
    <t>Replace Water Pipes to Improve Fire Flows</t>
  </si>
  <si>
    <t>Clean and Line Water Pipes to Improve Water Quality</t>
  </si>
  <si>
    <t>Senior Center - Sprinklers and Fire Alarm Upgrades</t>
  </si>
  <si>
    <t>City Hall - Sprinklers and Fire Alarm Upgrades</t>
  </si>
  <si>
    <t>Police Annex - Emergency Generator</t>
  </si>
  <si>
    <t>Crafts Street Garage - Site Upgrades</t>
  </si>
  <si>
    <t>Upgrade water filtration system to mitigate algea.</t>
  </si>
  <si>
    <t>Sidewalk Improvements</t>
  </si>
  <si>
    <t>Water Tanks - Remove Stanton Ave. &amp; Winchester St. Water Tanks</t>
  </si>
  <si>
    <t>Based on hydraulic studies, tanks are no longer needed to maintain water pressure.  Structural assessment may be needed.</t>
  </si>
  <si>
    <t>Alternate Funding</t>
  </si>
  <si>
    <t>Alt Funding Total</t>
  </si>
  <si>
    <t>Improve pedestrian safety.  Repair/replacement of sidewalks in poor condition and new sidewalks in village centers, school zones, on major roads.</t>
  </si>
  <si>
    <r>
      <t xml:space="preserve">Newton Centre Playground </t>
    </r>
    <r>
      <rPr>
        <b/>
        <sz val="8"/>
        <color theme="1"/>
        <rFont val="Calibri"/>
        <family val="2"/>
        <scheme val="minor"/>
      </rPr>
      <t>Phase V</t>
    </r>
    <r>
      <rPr>
        <b/>
        <sz val="8"/>
        <color indexed="8"/>
        <rFont val="Calibri"/>
        <family val="2"/>
        <scheme val="minor"/>
      </rPr>
      <t xml:space="preserve"> &amp; Vi -Accessibility</t>
    </r>
  </si>
  <si>
    <t xml:space="preserve">Additional Classroom </t>
  </si>
  <si>
    <t>Fire Station #3/HQ/Wires</t>
  </si>
  <si>
    <t>Renovation / Replacement</t>
  </si>
  <si>
    <t>Evelyn Road</t>
  </si>
  <si>
    <t>Traffic Signals (Chap 90)</t>
  </si>
  <si>
    <t>School Fuel Tank Removal</t>
  </si>
  <si>
    <t>in fuel tank program</t>
  </si>
  <si>
    <t>part of fuel tank program</t>
  </si>
  <si>
    <t xml:space="preserve">Replace boiler, second boiler and hot water conversion in out years.  Boilers are 35 years old. </t>
  </si>
  <si>
    <t>part of tank program</t>
  </si>
  <si>
    <t>Part of tank program</t>
  </si>
  <si>
    <t>repl w/countryside tanks</t>
  </si>
  <si>
    <t>includes $50K @ Bigelow</t>
  </si>
  <si>
    <t>DPW - Replace Large Construction Trucks</t>
  </si>
  <si>
    <t>Walnut Street Design (Chap 90)</t>
  </si>
  <si>
    <t>Vets Aud. BOA chamber</t>
  </si>
  <si>
    <t>Bd/MSBA</t>
  </si>
  <si>
    <t>Repair / Improve Wales St. Bridge (Wellesley MOU)</t>
  </si>
  <si>
    <t>Repairs required in response to Mass DOT bridge inspection findings.  Improvements include new guardrails and bridge railing transitions  to meet height and impact safety requirements. Wellesley will bond their $400,000 share of cost.  Approach sidewalks will be reconstructed and approach roadway and bridge will be cold-planed and paved.</t>
  </si>
  <si>
    <t>ASSET TYPES</t>
  </si>
  <si>
    <t>Use?</t>
  </si>
  <si>
    <t>Not Needed.  Re-Use?</t>
  </si>
  <si>
    <t>Re-Use, $572K needed.</t>
  </si>
  <si>
    <t>Re-Use, $480K needed.</t>
  </si>
  <si>
    <t>CPC, land Water Resources</t>
  </si>
  <si>
    <t>see above</t>
  </si>
  <si>
    <t>Bldg repair/pump replc</t>
  </si>
  <si>
    <t xml:space="preserve">Hammond Pd, Pell Prk </t>
  </si>
  <si>
    <t>Repair sluice gate</t>
  </si>
  <si>
    <t>MWRA $1,36/yr; Bond $2,7/yr</t>
  </si>
  <si>
    <t>Rebld pumps/update inst</t>
  </si>
  <si>
    <t>Rebld pump/update inst,</t>
  </si>
  <si>
    <t>Paint (painted in 2006)</t>
  </si>
  <si>
    <t>Incl in new pool facility</t>
  </si>
  <si>
    <t xml:space="preserve">poor cond., repl? $975K </t>
  </si>
  <si>
    <t>Use? access. toilets?</t>
  </si>
  <si>
    <t>Not Needed, Demo?</t>
  </si>
  <si>
    <t>3 tennis cts, 2 bball cts</t>
  </si>
  <si>
    <t>turf fld (FY24), tennis (FY22)</t>
  </si>
  <si>
    <t xml:space="preserve">turf flds(2@$500K), courts </t>
  </si>
  <si>
    <t>1 bball, 2 tennis, fencing</t>
  </si>
  <si>
    <t>Cabot School - Renovation and Addition/Replacement</t>
  </si>
  <si>
    <t>Zervas School - Renovation and Addition/ Replacement</t>
  </si>
  <si>
    <t>Code required project to provide accessible entrance, toilet, and water fountain.</t>
  </si>
  <si>
    <t>Repairs required in response to Mass DOT bridge inspection findings.  Include new guardrails and bridge railings for height and impact safety requirements. Wellesley will bond their $400,000 share of cost.  Approach sidewalks will be reconstructed.  The approach roadway and bridge will also be cold-planed and paved.</t>
  </si>
  <si>
    <t xml:space="preserve">Install CO/NOx detection system for garage so that the detection of gas energizes the existing exhaust fans.  Install backdraft damper on fans. </t>
  </si>
  <si>
    <t>Provide appropriate curb cuts to comply with federal ADA requirements and to provide safe, accessible means to and from City sidewalks.</t>
  </si>
  <si>
    <r>
      <t>Complete roof top unit work begun in stimulus project. Replace fans, duct work, unit heaters.  Provide gas detection system.</t>
    </r>
    <r>
      <rPr>
        <sz val="8"/>
        <rFont val="Calibri"/>
        <family val="2"/>
        <scheme val="minor"/>
      </rPr>
      <t xml:space="preserve"> </t>
    </r>
  </si>
  <si>
    <t>Provide covered storage for vehicles and equipment.  Covered storage extends life of vehicles and equipment</t>
  </si>
  <si>
    <t>Replace/repair EPDM roof.  Replace damaged roof panels.</t>
  </si>
  <si>
    <t>Replace Quonset Hut at Crafts St. with new facility.  Covered storage extends life of vehicles and equipment</t>
  </si>
  <si>
    <t>Phased project.  Current maps are deteriorating rapidly. A new storage system would allow DPW to store maps after scanning.</t>
  </si>
  <si>
    <t>Eliminate deteriorated roadway condition and improve public safety.  Arterial minor.  Federal funds for constr only.  Design funded by City.</t>
  </si>
  <si>
    <t>Eliminate deteriorated roadway condition, improve public safety and restore Comm Ave to previous boulevard status. Arterial minor.</t>
  </si>
  <si>
    <t>Replace wood truss members.  Add brace supports at ends to prevent walls from buckling. Repair wood buttresses and extend push wall 10' higher to keep weight of salt off exterior wall.</t>
  </si>
  <si>
    <t>Eliminate deteriorated roadway condition and enhance public safety. Arterial minor. Federal funds for constr only.  Design funded by City.</t>
  </si>
  <si>
    <t>Remove diesel and heating oil tanks, replace with tanks from Countryside Schl. Abate room.  Gas conversion and and other mech. work in future renovation work.</t>
  </si>
  <si>
    <r>
      <t>Replace emergency generator</t>
    </r>
    <r>
      <rPr>
        <sz val="8"/>
        <color rgb="FFFF0000"/>
        <rFont val="Calibri"/>
        <family val="2"/>
        <scheme val="minor"/>
      </rPr>
      <t xml:space="preserve"> </t>
    </r>
    <r>
      <rPr>
        <sz val="8"/>
        <color theme="1"/>
        <rFont val="Calibri"/>
        <family val="2"/>
        <scheme val="minor"/>
      </rPr>
      <t>which is at the end of it useful life.  Install life/safety equipment stored in Wires Division.</t>
    </r>
  </si>
  <si>
    <t>Remove existing windows and replace w/energy efficient insulated units(64ea). Repair and repoint exterior masonry to preserve building envelope.</t>
  </si>
  <si>
    <t>Remove fuel storage tanks and convert to gas.  Other mechanical work to be done as part of future building renovation.</t>
  </si>
  <si>
    <t>5th station of 7 buildings to be renovated.  Work includes building envelope, interior finishes, mechanical, electrical, plumbing, life/safety, ADA upgrades.</t>
  </si>
  <si>
    <t>6th station of 7 buildings to be renovated. Work includes mechanical, electrical, plumbing, code compliance and accessibility upgrades.</t>
  </si>
  <si>
    <t>Address active roof leaks and masonry gap.  Repair flashing; replace roof with new EPDM Roof.  FY13 design &amp; ph 1 constr.  FY14  phase 2 construction.</t>
  </si>
  <si>
    <t>Boilers are 54 years old and beyond their useful life.  Replace one boiler now and one in future year.</t>
  </si>
  <si>
    <t>Interior air handler replacement, pneumatic DDC controls conversion, replace chiller controls, repair/restore ice tank system.</t>
  </si>
  <si>
    <t>All Health Dept Building Recommended work.  Envelope is highest need.  Building is in re-use process.</t>
  </si>
  <si>
    <t>Replace Roof Top Mechanical equipment that is beyond its useful life.  Currently requires a lot of maintenance and service calls.</t>
  </si>
  <si>
    <t>Replace emergency generator with smaller unit and install battery back-up emergency egress lighting system. Upgrade elec service/ panels.</t>
  </si>
  <si>
    <t>Concrete around building has settled and cracked in various places creating a tripping hazard.  Repair to prevent further deterioration.</t>
  </si>
  <si>
    <t>Replace deteriorated sanitary pipe, distribution, risers and vents, toilet rooms.  Assess issues in FY15 to determine scope of additional work.</t>
  </si>
  <si>
    <t>Repair EPDM roof leaks. Repair copper cornice roof.  Replace firing range roof.</t>
  </si>
  <si>
    <t>Repair, repoint and clean exterior masonry.  This is Phase II of work begun in FY13.</t>
  </si>
  <si>
    <t>On-going program to repair and repoint exterior masonry to preserve building envelope. Address worst areas first.</t>
  </si>
  <si>
    <t>Replace two 60 year old boilers and variable air volume (VAV) coil work.</t>
  </si>
  <si>
    <t>Restore/replace historic exterior doors and windows.  Weatherstrip and seal for energy efficiency.  Window bay foundation repairs.</t>
  </si>
  <si>
    <t>Replace generator with emergency battery back-up system. Update system for ADA compliance. Upgrade exterior lighting &amp; occupancy sensors.</t>
  </si>
  <si>
    <t>Library used as cooling station for residents.  Existing energy agreement mandates peak usage on auxillary power when regional demand is high extreme.</t>
  </si>
  <si>
    <t>Upgrade entrance ramp, elevator, toilet rooms, and door hardware for accessibility.</t>
  </si>
  <si>
    <t>Replace interior air handlers in first year. Direct Digital Controls conversion.</t>
  </si>
  <si>
    <t>Replace Roof top air handling units and distribution system</t>
  </si>
  <si>
    <t>Replace RTUs at Annex, Direct Digital Control  conversion</t>
  </si>
  <si>
    <t>Hot water conversion w/renovation, 2nd boiler and distribution system.</t>
  </si>
  <si>
    <t>Replace boilers, hot water conversion, and Direct Digital Control conversion.</t>
  </si>
  <si>
    <t>Upgrade hardware, toilet rooms, and water fountains for accessibility.</t>
  </si>
  <si>
    <t>Upgrade toilet rooms, door hardware, water fountains, and signage for accessibility.</t>
  </si>
  <si>
    <t>Upgrades to electrical panels and sub-panelsn and  emergency generator</t>
  </si>
  <si>
    <t>Upgrade door hardware, openings, toilet rooms, railings, and signage for accessibility.</t>
  </si>
  <si>
    <t>Replace electric panels and sub-panels.</t>
  </si>
  <si>
    <t>Upgrades toilet rooms and water fountains.</t>
  </si>
  <si>
    <t>Replace electric panels and sub-panels</t>
  </si>
  <si>
    <t>Replace 2nd boiler and  replace modular roof top air handling units</t>
  </si>
  <si>
    <t>Replace windows in gym wing and storefront system.</t>
  </si>
  <si>
    <t>Upgrade existing elevator for code compliance, signage, hardware, and reconfigure locker rooms for accessibility.</t>
  </si>
  <si>
    <t xml:space="preserve">Create offsite climate controlled space with fire protection to house museum collections.  Currently no space to manage add'l materials. </t>
  </si>
  <si>
    <t xml:space="preserve">Restore existing windows and doors as historically appropriate.   </t>
  </si>
  <si>
    <t>Install code-compliant sprinkler system in building in conjunction with any major building upgrade or addition.</t>
  </si>
  <si>
    <t xml:space="preserve">Repoint exterior masonry walls as required. Repair, reset and regrout main granite front stairs. Repair stone veneer at main entry.     Rebuild rear right side areaway and stairs. </t>
  </si>
  <si>
    <t>Restore/replace existing slate roof, gutters, and downspouts.  Replace existing flat roof with new membrane roof and provide proper roof drains.</t>
  </si>
  <si>
    <t>includes masonry work</t>
  </si>
  <si>
    <t xml:space="preserve">NSTAR Preferred Vendor </t>
  </si>
  <si>
    <t>Replace Fire Department SCBA Gear</t>
  </si>
  <si>
    <t xml:space="preserve">Replace Engine 3, a 2004 Pumper Truck; to be used as spare to replace spare Engine 14, a 1992 pumper that should no longer be used.  </t>
  </si>
  <si>
    <t>Replace 1996 F800 with 165K miles on it.  Not cost effective to keep it on the road. Safety components are failing, putting personnel at risk.</t>
  </si>
  <si>
    <t>Truck lights up area during night time operations with a cascade system allowing refill of air tanks at the incident;  carries Haz Mat supplies.</t>
  </si>
  <si>
    <t>New Fire Dept Combo Lighting / Cascade Truck/ Emergency Rescue Unit.</t>
  </si>
  <si>
    <t>Replace Ladder 2. 15 years old. Maxed out on life expectancy; to be used as spare to replace Spare Ladder 5 a 1985 ladder to be taken out of service.</t>
  </si>
  <si>
    <t>Replace Engine 4.  A 2010 pumper. Engine 4 will become a spare.</t>
  </si>
  <si>
    <t>Replace Ladder 3. 15 years old. Ladder 3 becomes a spare, replacing spare Ladder 4.</t>
  </si>
  <si>
    <t>Current truck has been in service since 2004.  Over 90% of Tree Work requires this truck.  Without it most work could not be done.</t>
  </si>
  <si>
    <t>Current equipment has been in service since 2006. Essential for emergency response and hazardous tree removal.</t>
  </si>
  <si>
    <t>Sewer Inflow /Infiltration Project - West Newton Area</t>
  </si>
  <si>
    <t>Sewer Inflow /Infiltration Project - Lower Falls Area</t>
  </si>
  <si>
    <t>Sewer Inflow /Infiltration Project - Chestnut Hill Area</t>
  </si>
  <si>
    <t>Sewer Inflow /Infiltration Project - Newton Centre</t>
  </si>
  <si>
    <t>Sewer Inflow /Infiltration Project - Nonantum Area</t>
  </si>
  <si>
    <t>Part of 12 yr $49.1 M program to remove excess inflow and infiltration into sewer system.  Design (FY13) and constr (FY14) for West Newton area.</t>
  </si>
  <si>
    <t>Part of 12 yr $49.1 M program to remove excess inflow and infiltration into sewer system.  Design (FY14) and constr (FY15) for Lower Falls area.</t>
  </si>
  <si>
    <t>Part of 12 yr $49.1 M program to remove excess inflow and infiltration into sewer system.  Design (FY15) and constr (FY16) for Chestnut Hill area.</t>
  </si>
  <si>
    <t>Part of 12 yr $49.1 M program to remove excess inflow and infiltration into sewer system.  Design (FY16) and constr (FY17) for Newton Centre area.</t>
  </si>
  <si>
    <t>Part of 12 yr $49.1 M program to remove excess inflow and infiltration into sewer system.  Design (FY17) and constr (FY18) for Nonantum area.</t>
  </si>
  <si>
    <t>DPW - Replace 1995 Backhoe</t>
  </si>
  <si>
    <t>DPW - Replace 1985 Excavator</t>
  </si>
  <si>
    <t>DPW - Replace 1997 Backhoe</t>
  </si>
  <si>
    <t>Replacement of existing city vehicle/ equipment used for collecting trash/recycling in Parks &amp; Village Centers. (#52)</t>
  </si>
  <si>
    <t xml:space="preserve">Replace 2003 Backhoe </t>
  </si>
  <si>
    <t>Replace 2005 Large Construction Vehicles</t>
  </si>
  <si>
    <t xml:space="preserve">Replace 2008 Backhoe  </t>
  </si>
  <si>
    <t>Year three of 3 year program to replace and repair water pipes in order to meet ISO fire flow standards which are currently defficient.</t>
  </si>
  <si>
    <t>Year two of 3 year program to replace and repair water pipes in order to meet ISO fire flow standards which are currently defficient.</t>
  </si>
  <si>
    <t>Replace Total Building 1986 Built up roof area.It has almost reached its life expectancy. It is over 25 years of age</t>
  </si>
  <si>
    <t xml:space="preserve">Replace Total Building 1986 Built up roof area.  Roof has reached its life expectancy. </t>
  </si>
  <si>
    <t xml:space="preserve">Replace of 1950's portion of the building's roofing system as it has reached its life expectancy. </t>
  </si>
  <si>
    <t>Replace the 1990's Sarnifil roofing system on the main portion of the building. Existing roof has reached its life expectancy.</t>
  </si>
  <si>
    <t>Replace Flat Gym 1980's built up roofing system.  It has reached its life expectancy.</t>
  </si>
  <si>
    <t xml:space="preserve">Replace 1980's Built up roof area.  It has reached its life expectancy. </t>
  </si>
  <si>
    <t>Replace PVC roof installed in the 1990's as required.  It has reached life expectancy. Repair water divertor above support service door.</t>
  </si>
  <si>
    <t>Replace whole building roof in 2 phases.</t>
  </si>
  <si>
    <t>Repair poorly functioning gate valve used to regulate water storage capacity in City Hall ponds for stormwater.</t>
  </si>
  <si>
    <t>Dedham, Prince, Berkeley, Cherry, Highland Ave, Grafton, Bald Pate, Waban, Lyman, Lee, Colbert, East Colbert, Oak Cliff, Whittier, Paul, Allerton, Locksley, Rotherwood, Woodcliff, Rockledge, Miller, Cloverdale, Payne, Langdon, Highland Street (Washington to Chestnut)</t>
  </si>
  <si>
    <t>Street Paving - Cold Plane and Pave 21 Streets</t>
  </si>
  <si>
    <t>Street Paving - Cold Plane and Pave 20 Streets</t>
  </si>
  <si>
    <t>Street Paving - Cold Plane and Pave 18 Streets</t>
  </si>
  <si>
    <t>Street Paving - Cold Plane and Pave 26 Streets</t>
  </si>
  <si>
    <t>Cleaning and lining of water pipes to improve water quality, ensure pipe integrity and capacity. Precedes scheduled roadway paving.</t>
  </si>
  <si>
    <t>Add ADA compliant access route to a portion of Newton Centre Playground.  Approved for CDBG funding by City Commission on Disability.</t>
  </si>
  <si>
    <t xml:space="preserve">Replace 4 existing tennis courts at Weeks Playground. </t>
  </si>
  <si>
    <t>Replace 4 existing tennis courts at McGrath Playground (Warren).</t>
  </si>
  <si>
    <t>Replace 3 existing tennis courts at this location.  Courts have deteriorated.</t>
  </si>
  <si>
    <t>2008 Master Plan for park renovation in 2 phases.  Ph I to address drainage problems &amp; build new ball fields and courts. Highly used park.</t>
  </si>
  <si>
    <t>2008 Master Plan for park renovation in 2 phases. Ph II will complete the fields to provide tennis courts and football field.</t>
  </si>
  <si>
    <t>Master Plan for park renovation - Construction will include new athletic fields, new play structure and sitework and improvements.</t>
  </si>
  <si>
    <t>WATER METERS</t>
  </si>
  <si>
    <r>
      <t>Streetlights - Gaslight Conversion for Energy Efficiency</t>
    </r>
    <r>
      <rPr>
        <b/>
        <sz val="8"/>
        <color rgb="FFFF0000"/>
        <rFont val="Calibri"/>
        <family val="2"/>
        <scheme val="minor"/>
      </rPr>
      <t xml:space="preserve"> </t>
    </r>
  </si>
  <si>
    <t>Repave Pearl Street Parking Lot</t>
  </si>
  <si>
    <t>Repave Pearl Street municipal parking lot which is in poor condition.</t>
  </si>
  <si>
    <t>Repaint steel framing in attic.  Repair deteriorated concrete and CMU. Upgrade lighting and install new acoustical ceilings.</t>
  </si>
  <si>
    <r>
      <t xml:space="preserve">ESCALATED COSTS                                                                              </t>
    </r>
    <r>
      <rPr>
        <b/>
        <sz val="12"/>
        <color indexed="8"/>
        <rFont val="Calibri"/>
        <family val="2"/>
        <scheme val="minor"/>
      </rPr>
      <t>(Costs in FY2015-2018 are escalated 3.5% a year)</t>
    </r>
  </si>
  <si>
    <t>Cost estimates include 3.5% escalation.</t>
  </si>
  <si>
    <t>Carr Reno Total $12.7M</t>
  </si>
  <si>
    <t>Feas. in FY14, incls MEP</t>
  </si>
  <si>
    <t>Feasibility Study in FY14.</t>
  </si>
  <si>
    <t>Study options in FY17</t>
  </si>
  <si>
    <t>include sprinklers &amp; ADA</t>
  </si>
  <si>
    <t>inspect slate</t>
  </si>
  <si>
    <t>with renovation</t>
  </si>
  <si>
    <t>soil, part of tank program</t>
  </si>
  <si>
    <t>addressable fire alarm</t>
  </si>
  <si>
    <t>Long term plan?</t>
  </si>
  <si>
    <t>replace w/perm constr.</t>
  </si>
  <si>
    <t>bldg envel restoration</t>
  </si>
  <si>
    <t>built in 1996</t>
  </si>
  <si>
    <t>See above.</t>
  </si>
  <si>
    <t>Gath Pool - New Swim Facility Design and Construction</t>
  </si>
  <si>
    <t>Memorial Spaulding School - Replace Roof</t>
  </si>
  <si>
    <t>Memorial Spaulding School - Accessibility Upgrades</t>
  </si>
  <si>
    <t>Memorial Spaulding School - Mechanical Upgrades</t>
  </si>
  <si>
    <t>CPA eligible</t>
  </si>
  <si>
    <t>Upgrade traffic signal and intersection at Beacon St. and Langley Rd  to improve safety and visibility, and for ADA compliance.</t>
  </si>
  <si>
    <t>Traffic Light Improvements at Beacon Street and Langley Road Intersection</t>
  </si>
  <si>
    <t>Upgrade traffic signal and intersection on Washington St at Cheery St and Highland  to improve safety, visibility, and for ADA compliance.</t>
  </si>
  <si>
    <t>Traffic Light Improvements at Washingston Street Intersection (Waltham/Watertown Streets)</t>
  </si>
  <si>
    <t>Traffic Light Improvements at Washingston Street Intersection (Cherry/Highland Streets)</t>
  </si>
  <si>
    <t>Traffic Light Improvements at Washingston Street and Perkins Intersection</t>
  </si>
  <si>
    <t>Upgrade traffic signal and intersection on Washington St at Perkins Street  to improve safety, visibility, and for ADA compliance.</t>
  </si>
  <si>
    <t>envel/strct issues</t>
  </si>
  <si>
    <t>Flowed Meadow Pump Station Bldg</t>
  </si>
  <si>
    <t>Emergency Resp Unit Haz Mat Truck</t>
  </si>
  <si>
    <t>Large Construction Trucks ($150K ea)</t>
  </si>
  <si>
    <t>Large Construction Trucks  ($150K ea)</t>
  </si>
  <si>
    <t>Library Bk Autocheckin/Sort'g System</t>
  </si>
  <si>
    <t>Create swing space for on-going Elem. school bldg projects. Includes system and accessibility upgrades, sprinklers, sitework, windows, and roof.</t>
  </si>
  <si>
    <t>Code required project to provide accessible toilet rooms, an accessible drinking fountain, and lift to provide access to gym level.</t>
  </si>
  <si>
    <t>Roads include Lowell, Melrose, Staniford, Freeman, Lake, Crystal, Berwick, Oak, Grove, Central, Bridge, Temple, Walnut, Linwood, Walnut Pl, Newtonville, Daniel, Ridge, Collins</t>
  </si>
  <si>
    <t>Streets include Vernon, Eldredge, Elmwood, Beacon, Pembroke, Durant, Hanson, Bishopsgate, Hammondswood, Monadnock, Otis, Adams, Circuit, Converse, Ruthven, Albemarle, Cottage Street</t>
  </si>
  <si>
    <t>Station built 1950, rehabbed in 1992.  Contains 2 (5 hp) pumps. Replace wet well.</t>
  </si>
  <si>
    <t>Streets include Crafts, Ward, Morton, Parker, Varick, Annawan, Bennington, Bound Brook, Tower, Henshaw St, Henshaw Ter, Kilburn, Vine, Fuller, Town House Dr, Mill, Glen, Stiles, Westminster, Deforest, Pine Grove, Clearwater</t>
  </si>
  <si>
    <t>Replace entire building roof system.  Roof is beyond its useful life.</t>
  </si>
  <si>
    <t>Upgrade electric service, panels and sub-panels to support IT server room and other building functions.</t>
  </si>
  <si>
    <t>est. $7.5M from MSBA</t>
  </si>
  <si>
    <t>Information Technology</t>
  </si>
  <si>
    <t>Replace one 60 yo boiler and associated systems. 2nd boiler and DDC conversion in future project.  Remove underground tank.</t>
  </si>
  <si>
    <t>Project includes energy conservation measures at Library, Lincoln Eliot, Franklin, Underwood, Cabot Schools thru NSTAR preferred vendor program.</t>
  </si>
  <si>
    <t>Project includes energy conservation measures at Ward, Mason Rice, Zervas, and Williams Schools thru NSTAR preferred vendor program.</t>
  </si>
  <si>
    <t>Project includes energy conservation measures at Countryside, Mem-Spauld and Peirce Schools and  Ed Center  thru NSTAR preferred vendor program.</t>
  </si>
  <si>
    <t>Project includes energy conservation measures at Horace Mann, Brown, Oak Hill and NSHS  thru NSTAR preferred vendor program.</t>
  </si>
  <si>
    <t>Auburndale Library -Accessibility and Site Upgrades</t>
  </si>
  <si>
    <t>Electrical and lighting upgrades for code compliance and to improve energy efficiency.  Replace electric panel.</t>
  </si>
  <si>
    <t>Remove existing exterior wood doors and frames and replace with new doors and hardware.  Repair/replace building windows.</t>
  </si>
  <si>
    <t xml:space="preserve"> Work includes electrical, toilet rooms, and building envelope repairs/improvements</t>
  </si>
  <si>
    <t>Project to fully upgrade existing building or replace with new structure.</t>
  </si>
  <si>
    <t>Upgrade toilet rooms, elevator, door hardware and signage for accessibility</t>
  </si>
  <si>
    <t>Upgrades to toilet rooms, signage, hardware, railings and assembly spaces for accessibility.</t>
  </si>
  <si>
    <t>Replace the total building roofing system installed in the 1980's.</t>
  </si>
  <si>
    <t xml:space="preserve">Restore/Replace windows in phases to improve energy efficiency, functionality and comfort, and to preserve exterior wall.   </t>
  </si>
  <si>
    <t>City Hall - Kitchen Mechanical Upgrades</t>
  </si>
  <si>
    <t>Upgrade toilet rooms and water fountains,and  add fixtures per code requirements.</t>
  </si>
  <si>
    <t>Upgrade toilets, signage, door hardware, and accessible entrance.</t>
  </si>
  <si>
    <t>Crafts St DPW Operations (Stable) - Restore Building Envelope, Windows &amp; Roof</t>
  </si>
  <si>
    <t xml:space="preserve">Preserve historic building envelope. Repoint/repair lintels, sills and brick veneer.  Restore/replace windows, doors and roof and cupola as historically appropriate. </t>
  </si>
  <si>
    <t>Existing bathhouse is in poor condition and is not accessible.  Renovate/Replace bathhouse and improve site.</t>
  </si>
  <si>
    <t>Boiler upgrades per code reqts. Replace unit heaters and finned tube heaters. Upgrade bathrooms. Replace water heater.</t>
  </si>
  <si>
    <t>Repair cracks (100 SF); repoint mortar joints (40% of building)•Repaint steel framing in attic (30% of steel surface area)</t>
  </si>
  <si>
    <t>Upgrade toilet rooms, install accessible door hardware and drinking fountains; Resurface main entrance ramp and install handrails.</t>
  </si>
  <si>
    <t>Install an elevator to provide access to all floors.•Install tactile and Braille signage mounted adjacent to latch side door at all permanent rooms and exits.•Insulate pipes to protect against contact; Install an accessible toilet room on the 2nd floor; Reposition side grab bar so it extends 54" from side of wall.•Replace door hardware with hardware that does not require tight grasping, pinching, or twisting; Install an automatic door opener for the classroom door or modify the existing door to have 18" clear for maneuvering on the latch side of the door; Install wheelchair accessible drinking fountains; Remove cabinates below sink to provide knee clearance and reposition sink so it is mounted 34" AFF; Install ADA-compliant stair handrails; Replace faucet controls with controls that do not require tight grasping, pinching, or twisting.•Resurface main entrance ramp and install wheel rail to meet ADA requirements; Install handrails on both sides of main entrance stair.Replace all toilet and urinal fixtures which are in poor condition (12ea) for those bathrooms which will still be used as bathrooms and remove all abandonned fixtures.•Replace all bathroom sinks which are in poor condition (4ea) for those bathrooms which will still be used as bathrooms and remove all abandonned sinks.•. Is this a duplicate? Completely renovate bathrooms which are still being used as bathrooms with new accessories (5ea).  Demolish and cap waste and vents for bathrooms which no longer being used as bathrooms.</t>
  </si>
  <si>
    <t xml:space="preserve">Upgrades for ADA Compliant elevator, toilet rooms, door hardware, and signage </t>
  </si>
  <si>
    <t>Upgrade Toilet rooms, Water fountains, Door hardware and signage for accessibility.</t>
  </si>
  <si>
    <t>Gath Pool - Electrical and Mechanical Upgrades</t>
  </si>
  <si>
    <t>Upgrade fire alarm and egress lighting. Replace electrical panels. Install exhaust fans. Replace Heater Pump, piping and fittings.</t>
  </si>
  <si>
    <t>Upgrade toilet rooms, water fountains and door hardware for accessibility.</t>
  </si>
  <si>
    <t>Replace Septic System by connecting to City Sewer Infrastructure.</t>
  </si>
  <si>
    <t>Kennard Estate-Building Envelope, Windows and Doors</t>
  </si>
  <si>
    <t>Replace shingles and flashings. Repair foundation walls. Replace wood windows and shutters with historic, appropriate units.</t>
  </si>
  <si>
    <t>Replace asphalt shingles, wood mansard shingles and flashings (2100sf). Replace wood, metal lined gutters and galv. downspouts. (140lf)Repair concrete basement floor and fill voids, seal floor(900sf). Remove wood sleepers embedded in concrete floor and pour new concrete floor(300sf.•Point and paint water stop at foundation walls(11,200sf). Repair corner of stone foundation wall (15lf). Paint exterior of stone foundation wall and seal(500sf).Replace wood windows, storms and shutters with insulated historically appropriate window units (53ea).•Replace bulkhead door to basement (1ea).•Replace rear hall and back porch doors and storms (2ea).</t>
  </si>
  <si>
    <t xml:space="preserve">Provide accessible parking spaces and install accessible entrance ramp. </t>
  </si>
  <si>
    <t>Upgrade toilet rooms, door hardware, elevator, entrance ramp, and signage for accessibility.</t>
  </si>
  <si>
    <t>Lower Falls Community Center - Replace Gym Floor</t>
  </si>
  <si>
    <t>Upgrade lighting and power distribution.  Update fire alarm horn strobes and beacons.</t>
  </si>
  <si>
    <t>Replace controls, air handlers.  Replace 2nd boiler, hot water conversion, and Direct Digital Controls conversion.</t>
  </si>
  <si>
    <t>Newton Corner Parks &amp; Rec Headquarters - Exterior Windows &amp; Doors</t>
  </si>
  <si>
    <t>Newton Corner Parks &amp; Rec Headquarters - Building Envelope</t>
  </si>
  <si>
    <t>Newton Corner Parks &amp; Rec Headquarters - Site/ Accessibility Upgrades</t>
  </si>
  <si>
    <t>Newton Corner Parks &amp; Rec Headquarters - Roof Restoration/ Replacement</t>
  </si>
  <si>
    <t>Upgrades to  Lighting and controls</t>
  </si>
  <si>
    <t>Replace baseboard heating on first floor. Provide pipe insulation. Replace air handling unit in basement with new controls.     Provide exhaust fan, 150 CFM in basement mens room. Interlock controls with light.•Provided new attic exhaust fan to match outside air flow of new supply unit in mechanical room.•Provide exhaust fan, 75 CFM in first floor womens room. Interlock controls with light.•Provide exhaust fan, 75 CFM in first floor mens room. Interlock controls with light.•Provide combustion air system for boiler. Replace venting.</t>
  </si>
  <si>
    <t>Upgrade interior lighting and power distribution. Replace electrical panel and main electrical service.</t>
  </si>
  <si>
    <t>Reconfigure entry vestibules and reconstruct ADA compliant ramp;  Upgrades for toilet rooms and drinking fountain.</t>
  </si>
  <si>
    <t>Nonantum Library-Roofs and Building Envelope</t>
  </si>
  <si>
    <t>Remove slate roof and replace with new roof (3600sf). Install new gutters and downspouts (200lf).•Remove existing flat roof and replace with new membrane roof(1200sf).Scrape, prepare surfaces and repaint woodwork at side entry panels and concrete wall areaway to basement (500sf).•Repair joint at base of masonry wall to concrete foundation(250lf)•Scrape, prepare surfaces and paint small roof dormer vents(2ea).•Repair damaged and rotted sections of wood cornice, scrape, prepare surfaces and repaint entire wood cornice (300lf).•Rebuild Bridge Street concrete stairs (4r) and rebuild accessible ramp with new handrails per code (30lf).  Rebuild main entry granite stars (5r).  Install metal hand rails (40lf).•Repair concrete areaway stairs as required(14r). Repair areaway drain(1ea) Repair, paint wood areaway fence.(15lf).</t>
  </si>
  <si>
    <t>Sanitary piping is deteriorating. Upgrades to toilet rooms and water fountains</t>
  </si>
  <si>
    <t>Upgrades to door hardware, toilet rooms, railings, and signage for accessibility.</t>
  </si>
  <si>
    <t>Replace boiler, remove underground storage tank.   Convert to gas, provide new heating controls, fans and heaters in future.</t>
  </si>
  <si>
    <t>Provide accessible toilet rooms, door hardware, signage and a hi-low drinking fountain. Resurface and re-grade path         to play area.</t>
  </si>
  <si>
    <t>Replace lower roofing membrane,  gutters and downspouts. Replace upper Gym membrane roof with a new EPDM roof.</t>
  </si>
  <si>
    <t>Replace windows and security screens with new insulated windows and new security screens.  Repair and repoint masonry walls and restore murals.</t>
  </si>
  <si>
    <t>Upgrade lighting and power distribution for energy efficiency.  Provide protective cages over gym fixtures.  Replace electric panels.</t>
  </si>
  <si>
    <t>Police Annex - Accessibility Upgrades</t>
  </si>
  <si>
    <t>Provide accessible toilet rooms, door hardware, signage and drinking fountain.  Provide a lower transaction counter.</t>
  </si>
  <si>
    <t>Police Annex - Exterior Windows &amp; Doors &amp; Building Envelope</t>
  </si>
  <si>
    <r>
      <rPr>
        <sz val="8"/>
        <rFont val="Calibri"/>
        <family val="2"/>
        <scheme val="minor"/>
      </rPr>
      <t>Restore/replace</t>
    </r>
    <r>
      <rPr>
        <sz val="8"/>
        <color theme="1"/>
        <rFont val="Calibri"/>
        <family val="2"/>
        <scheme val="minor"/>
      </rPr>
      <t xml:space="preserve"> windows and doors with historically appropriate energy efficient units. Repoint exterior brick and entry ramp.  Repair stone lintels.</t>
    </r>
  </si>
  <si>
    <r>
      <rPr>
        <sz val="8"/>
        <rFont val="Calibri"/>
        <family val="2"/>
        <scheme val="minor"/>
      </rPr>
      <t xml:space="preserve">Repair/Replace </t>
    </r>
    <r>
      <rPr>
        <sz val="8"/>
        <color theme="1"/>
        <rFont val="Calibri"/>
        <family val="2"/>
        <scheme val="minor"/>
      </rPr>
      <t>all windows and prepare wood for painting and replace all hardware (59ea).Remove basement interior drywall, paint wall with water-stop paint, and reinstall mold-resistant perimeter walls (5000sf). Remediate mold issue in the basement.•Repoint 30% of the brick façade, including chimneys. Repair main entry ramp, point joints that are opening, repair cracks, reattach light fixtures(300sf). Add handrail on building side of areaway ( 15lf). Repair concrete door threshold(1ea).•Repair stone lintels using historically appropriate patching and crack repair techniques (100 LF).•Clean out areaways (4ea). Install area way grates(120sf).•Scrape, prepare surface and paint wood gable ends, and wood dentals (1100sf).</t>
    </r>
  </si>
  <si>
    <t>Police Headquarters - Repair Concrete</t>
  </si>
  <si>
    <t xml:space="preserve">Replace electrical distribution panels and main electrical service. Upgrade Telcom and Electrical infrastructure to BICSI and Electrical code.Replace interior lights to improve light levels and energy efficiency. </t>
  </si>
  <si>
    <t>Upgrade Distribution system, controls, and remove underground tank.</t>
  </si>
  <si>
    <t>Upgrade or replace building.  Work includes lighting, toilet rooms, roofing and envelope repairs.</t>
  </si>
  <si>
    <t>Upgrade toilet rooms, Replace door hardware;  Modify door at stairwell or install automatic door opener.</t>
  </si>
  <si>
    <t>Restore exterior wood door and install panic hardware. Replace areaway and rear door.  Restore windows.</t>
  </si>
  <si>
    <t xml:space="preserve">Replace electrical panel. Replace exterior lighting to improve safety. Replace main electric service and wiring.Upgrade lighting to improve energy efficiency. </t>
  </si>
  <si>
    <t>Replace main entry walk and foundation walls and install railing.  Rebuild side stairs at main entry. Rebuild stairs at rear entry.   Install hand rail on one side of rear entry wall.•Repair flashing of parapet walls.</t>
  </si>
  <si>
    <t>Waban Library-Accessibility Upgrades</t>
  </si>
  <si>
    <t>Waban Library-Building Envelope and Entrance</t>
  </si>
  <si>
    <t>Hot water conversion and distribution as part of future major renovation.  (Could also keep the steam system for approx $500K).     Include in major renovation.</t>
  </si>
  <si>
    <t>Replace existing courts at this location and lighting. Consider Private-Public Partnership.</t>
  </si>
  <si>
    <t>Deferred due to paving. Replace 1,150 LF of 6" water main with 8", 1905.  This precedes scheduled roadway paving.</t>
  </si>
  <si>
    <t>Deferred.  Replace 1048 LF of 6" water main with 8", 1877.  This precedes scheduled roadway paving.</t>
  </si>
  <si>
    <t>Burr School - Sitework Sidewalk Ramp Repairs</t>
  </si>
  <si>
    <t>City Hall - Increase City Clerk Archive Storage</t>
  </si>
  <si>
    <t>Deferred due to paving. Waltham to Wolcott (FY14). Cleaning and lining 3,150 LF of 8" water main, 1932.  This precedes scheduled roadway paving.</t>
  </si>
  <si>
    <t>Schools - Repave Parking Areas</t>
  </si>
  <si>
    <t>Upgrade traffic signal and intersection on Washington St at Waltham/Watertown Sts  to improve safety, visibility, and for ADA compliance.</t>
  </si>
  <si>
    <t>DPW - Replace 1998 Front End Loader</t>
  </si>
  <si>
    <t>DPW - Replace 1984 Do All Large Construction Truck</t>
  </si>
  <si>
    <t xml:space="preserve">Replacement of existing city vehicle/ equipment that is beyond useful life, used for street &amp; sidewalk repairs.  (#130).  </t>
  </si>
  <si>
    <t>Replace 2 vehicles taken out of service: Vehicle #73 and #40.  Required for sanding fleet for snow and for construction work.</t>
  </si>
  <si>
    <t>Replacement of existing city vehicle/ equipment used for street &amp; sidewalk repairs.  (#110)  Beyond usefull life expectancy.</t>
  </si>
  <si>
    <t>Replace vehicles out of service: Vehicle #101 (1993) and #69 (1983)  Required for sanding for snow and for construction work.</t>
  </si>
  <si>
    <t>Replacement of existing city vehicle/ equipment used for street &amp; sidewalk repairs. (#120) at useful life expectancy.</t>
  </si>
  <si>
    <t>DPW - Replace 1994 Packer Trash Collection Vehicle</t>
  </si>
  <si>
    <t>Replacement of existing city vehicle/ equipment used to load materials for street &amp; sidewalk repairs. (#104)</t>
  </si>
  <si>
    <t>Replacement of vehicle taken out of service: Vehicle #148.  Dept will not have minimum (6 ea) needed for 4 sweeps/yr efficiently.</t>
  </si>
  <si>
    <t>Replacement of existing city vehicle/ equipment used for street &amp; sidewalk construction and snow removal operations. (#87)</t>
  </si>
  <si>
    <t>Replacement of existing city vehicle/ equipment used in sewer line repairs and maintenance (#327).</t>
  </si>
  <si>
    <t>Replacement of damaged city vehicle/ equipment used to clean sewer catch basins and brook grates. (#330)</t>
  </si>
  <si>
    <t>Replace 2001 10-Wheeler Large Capacity Construction Truck</t>
  </si>
  <si>
    <t>Replace 1995 Sewer Jet Truck</t>
  </si>
  <si>
    <t>Replacement of vehicle/ equipment used to clear out blockages in the sewer system to prevent sewer backups. (#369).</t>
  </si>
  <si>
    <t xml:space="preserve">Replace vehicle/ equipmt used to haul materials for  treching / backfilling for sewer line repairs. Also used for snow removal. (#365) </t>
  </si>
  <si>
    <t xml:space="preserve">Replace vehicles/equipment used to haul materials for trenching/ backfilling for sewer line repairs.  Also used for snow plowing (#366 and #367) </t>
  </si>
  <si>
    <t>Replace 2004 Sewer Clam Truck</t>
  </si>
  <si>
    <t>Replace 2002 Construction Truck</t>
  </si>
  <si>
    <t>Replace 2004 Construction Truck</t>
  </si>
  <si>
    <t>Replace Construction Truck</t>
  </si>
  <si>
    <t>Replacement of existing city vehicle used for construction work on City water mains and for snow removal/sanding operations.         Life span of vehicles is 15 yrs. (#309)</t>
  </si>
  <si>
    <t>Replacement of existing city vehicle used for construction work on City water mains and for snow removal/sanding operations.         Life span of vehicles is 15 yrs (#311).</t>
  </si>
  <si>
    <t>Replacement of existing city vehicle used for construction work on City water mains and for snow removal/sanding operations.         Life span of vehicles is 15 yrs (#316).</t>
  </si>
  <si>
    <t>Replacement of existing city vehicle used for construction work on City water mains and for snow removal/sanding operations.         Life span of vehicles is 15 yrs (#310).</t>
  </si>
  <si>
    <t>Replacement of existing city vehicle used for construction work on City water mains and for snow removal/sanding operations.         Life span of vehicles is 15 yrs</t>
  </si>
  <si>
    <t>Replacement of existing city vehicle/ equipment used in water line repairs and maintenance  (#328)</t>
  </si>
  <si>
    <t>Prairie Avenue Sewer Pump Station</t>
  </si>
  <si>
    <t>Islington Road Sewer Pump Station - Replace Pumps</t>
  </si>
  <si>
    <t>Elliot Street Sewer  Pump Station - Repair Pumps</t>
  </si>
  <si>
    <t>Quinobequin Road Sewer Pump Station - Replace Pump</t>
  </si>
  <si>
    <t>Hamlet Street Sewer Pump Station - Replace Pumps</t>
  </si>
  <si>
    <t>Sewerage is pumped to higher point and gravity fed to MWRA pipes for treatment. Replace pumps, motors and flow recorder which are at life expectancy.</t>
  </si>
  <si>
    <t>Sewerage is pumped to higher point and gravity fed to MWRA pipes for treatment. Replace pumps and flow recorder which are at life expectancy.</t>
  </si>
  <si>
    <t>Sewerage pumped to higher point and gravity fed to MWRA pipes for treatment. Replace pump 1 and motors at life expectancy.</t>
  </si>
  <si>
    <t>Sewerage is pumped to a higher point and gravity fed to MWRA pipes for treatment. Replace pumps and motors.</t>
  </si>
  <si>
    <t>Replace 60 hp pump in Fire Station #10; boosts water pressure in high areas of City.   Pumps fill Oak Hill Tank. Coord w/construct.</t>
  </si>
  <si>
    <t>Deferred.  Cleaning and lining 760 LF of 8" water main, 1880.  This precedes upcoming TIP funded road reconstruction project.</t>
  </si>
  <si>
    <t>Storm drain pipe has partially collapsed and requires repair to prevent flooding.</t>
  </si>
  <si>
    <t>Rehabilitation of Forest Grove Storm System Pump Station </t>
  </si>
  <si>
    <t>Repair of culverts along Laundry Brook to prevent flooding.</t>
  </si>
  <si>
    <t>Replace existing pipe which has settled and is causing flooding.</t>
  </si>
  <si>
    <t>Repair, upgrade kitchen equipment and stove ventilation in cafeteria kitchen to comply with current code requirements.</t>
  </si>
  <si>
    <t>City Hall - Plumbing and Accessiblity Improvements</t>
  </si>
  <si>
    <t xml:space="preserve">Upgrade toilet rooms for improved accessibility as required by code. </t>
  </si>
  <si>
    <t>Renovate toilet rooms and replace cold and hot water piping as required.  Provide insulation for all piping.</t>
  </si>
  <si>
    <t>There has been continuing deterioration of the space as it passes its 75th anniversary.  Desks and chairs need restoration. Aldermen are unable to effectively use electronic devices due to limited number of power outlets.  Lighting is inadequate for NewTV to effectively capture images for broadcast.  The sound system is also inadequate and may need to be rewired.  There continues to be the  need to provide appropriate access to Legislative meetings.Restore, Repair and Refinish wood floors and historic woodwork in chamber.  Repair water damage to ceiling and walls and paint walls and ceiling, improve lighting, improve sound system, impprove accessibility, and install additional electrical capacity to allow use of electronic devices and add air conditioning.</t>
  </si>
  <si>
    <t xml:space="preserve">Upgrade Historic Board Chamber to improve mechanical, electrical, audio/visual systems and lighting and interior finishes. </t>
  </si>
  <si>
    <t>Plan installation of sprinkler system and addressable fire alarm upgrades  in City Hall in conjunction with other building upgrades.</t>
  </si>
  <si>
    <r>
      <t>Replace emergency generator</t>
    </r>
    <r>
      <rPr>
        <sz val="8"/>
        <color rgb="FFFF0000"/>
        <rFont val="Calibri"/>
        <family val="2"/>
        <scheme val="minor"/>
      </rPr>
      <t xml:space="preserve"> </t>
    </r>
    <r>
      <rPr>
        <sz val="8"/>
        <color theme="1"/>
        <rFont val="Calibri"/>
        <family val="2"/>
        <scheme val="minor"/>
      </rPr>
      <t>which is at the end of it useful life.•Replace Ground floor panelboards with (3) new 42 Circuit systems.•Install (6) all-weather GFI to outside of building.•Replace all T-8 Flourescent lighting to super T-8 to improve energy efficiency.  Replace all incandescent/CFL fixtures with more energy efficient fixtures such as high efficiency LED.•Replace all exterior lighting (6 wall pack units) to improve safety &amp; security.  Include a lighting controller system to improve energy efficiency.•Install audible alarms to meet ADA requirements in all areas of the building, in particular, the toilets and sleeping areas.•Add more kitchen outlets to address blown fuses.•Expand kitchen electrical circuitry to dedicated circuits to the areas hit by blown fuses.•Replace electrical service and associated panels. Install life/safety equipment already purchased and stored in Wires Division.</t>
    </r>
  </si>
  <si>
    <t>Repave parking areas and sidewalks in poor condition at Ward, Brown, Underwood, Mason Rice, Oak Hill, Williams, Zervas and Peirce.</t>
  </si>
  <si>
    <t>Upgrade electrical panels and distribution system.</t>
  </si>
  <si>
    <t>Access &amp; Evac Rte for Day MS</t>
  </si>
  <si>
    <t>Construction Trucks ($130K each)</t>
  </si>
  <si>
    <t xml:space="preserve">Newton Highlands Playgrnd - Ph I Design &amp; Construction </t>
  </si>
  <si>
    <t xml:space="preserve">Newton Upper Falls/ Braceland Playground - Design &amp; Construction </t>
  </si>
  <si>
    <t>Replace Engine 7 pumper truck.  Engine 7 will become a spare.</t>
  </si>
  <si>
    <t>Replace Parks Dump Truck (replace 1998 truck #430)</t>
  </si>
  <si>
    <t>Provide curb cuts to comply with federal ADA requirements and to provide safe, accessible means to and from City sidewalks.</t>
  </si>
  <si>
    <t>Clerk's Archive Storage</t>
  </si>
  <si>
    <t>CPA Eligible?</t>
  </si>
  <si>
    <t>accessible toilet rms</t>
  </si>
  <si>
    <t>carpet-library O&amp;M $300K</t>
  </si>
  <si>
    <t xml:space="preserve">Long term plan? </t>
  </si>
  <si>
    <t>10.9.12</t>
  </si>
  <si>
    <t>TECHNOLOGY</t>
  </si>
  <si>
    <t>TECHNOLOGY TOTAL</t>
  </si>
  <si>
    <t>City of Newton 20 Year Long Range Capital Projection</t>
  </si>
  <si>
    <t>Remove/Replace Fuel Tanks</t>
  </si>
  <si>
    <t>Energy Improvements</t>
  </si>
  <si>
    <t>STORM WATER</t>
  </si>
  <si>
    <t>STORM WATER TOTAL</t>
  </si>
  <si>
    <t>CDBG Eligible</t>
  </si>
  <si>
    <t>Engineering Map Scanning Project     Phase I</t>
  </si>
  <si>
    <t>Replace Fire Dept Pumper Truck     (Engine 3)</t>
  </si>
  <si>
    <t>Needham Street - Clean and Line Water Main - Oak to Charlemont</t>
  </si>
  <si>
    <t>Wolcott St - Replace Water Main at Wolcott St - Webster to Ionia</t>
  </si>
  <si>
    <t>Replace Fire Dept Aerial Ladder       (Ladder 2)</t>
  </si>
  <si>
    <t>Engineering Map Scanning Project     Phase II</t>
  </si>
  <si>
    <t>Replace Fire Dept Pumper Truck      (Engine 4)</t>
  </si>
  <si>
    <t>Replace Fire Dept Aerial Ladder     (Ladder 3)</t>
  </si>
  <si>
    <t>Direct Digital Controls conversion and upgrade heating distribution system.</t>
  </si>
  <si>
    <r>
      <t>Health Department Bldg - (</t>
    </r>
    <r>
      <rPr>
        <b/>
        <sz val="8"/>
        <rFont val="Calibri"/>
        <family val="2"/>
        <scheme val="minor"/>
      </rPr>
      <t>ReUse Consideration)</t>
    </r>
  </si>
  <si>
    <t>FY14 feasibility study.  Project will address aging systems, access, sprinklers, and space needs.  Include cost to move to Carr and back to Cabot.  $7.5M anticipated from MSBA.   Anticipate high maintenance costs on mechanical system until building is renovated.</t>
  </si>
  <si>
    <t>Replace fans and air handling units. Change boiler burner to gas-fired. Replace basement fan coil unit. Improve operation &amp; efficiency for consistent heating/cooling temps</t>
  </si>
  <si>
    <t>Replacement of vehicle taken out of service (#148).  Dept will not have minimum (6 ea) needed for 4 sweeps/yr efficiently. Contracting out services is alternative at great cost.</t>
  </si>
  <si>
    <t xml:space="preserve">FY14 feasibility study.  Project to address space needs due to growing enrollment, bldg systems, access.  Include cost to move to Carr and back to Zervas  </t>
  </si>
  <si>
    <t>Wall integrity is jeopardized.  Project to minimize property damage due to flooding from heavy rains and compromised conveyance systems.  Phase I is survey.</t>
  </si>
  <si>
    <r>
      <t xml:space="preserve">Replace condensing units.  Replace and insulate ductwork and replace fans.  </t>
    </r>
    <r>
      <rPr>
        <sz val="8"/>
        <rFont val="Calibri"/>
        <family val="2"/>
        <scheme val="minor"/>
      </rPr>
      <t>Add mini-split A/C units in conjunction with window restoration /replacement.</t>
    </r>
  </si>
  <si>
    <t>Study options for repair /replacement. Steam system has failed.  $50K/yr to address steam leaks.  Hot water conversion in next ten years ($2M). Periodically causes moisture problem.</t>
  </si>
  <si>
    <t>Phased project.  Current maps are deteriorating rapidly. A new storage system would allow DPW to store maps after scanning. Proposed to be a phased project.</t>
  </si>
  <si>
    <t xml:space="preserve">Repair broken roof slates. Reflash where leaks are occurring.  Repair/replace gutters and downspouts. Pitch rain leaders away from bldg. Repair concrete ramp. Grout railing bases.  Repair foundation walls. Replace concrete stairs.   </t>
  </si>
  <si>
    <t xml:space="preserve">Replace outdated / failing City Pool Facility.  Existing bldg naturally vented to outside putting pipes and interior surfaces at risk of failure.      </t>
  </si>
  <si>
    <t>Upgrade / replace egress lighting and exit signage per code. Upgrade audible fire alarm and strobes to ADA compliance. Replace receptacles, conduit, electric panels.</t>
  </si>
  <si>
    <t>Remove and replace slate roofing, gutters and downspouts. Install new EPDM Roof.  Reattach downspouts.</t>
  </si>
  <si>
    <r>
      <t xml:space="preserve">Replace duct mounted steam coils and baseboard heaters. Replace ductwork with insulated ductwork.  Provide make up air dampers and control for emergency generator.  Replace boiler induced-draft fan and replace corroded section of breeching.  Provide 75 CFM exhaust fans in mens and womens toilet rooms.•Replace air handler with new fan coil unit. Provide pad for unit to prevent water damage to unit or return ductwork.•Insulate steam and condensate piping in boiler room.•Provide damper and controls for combustion air opening for boiler.  </t>
    </r>
    <r>
      <rPr>
        <sz val="8"/>
        <color rgb="FFFF0000"/>
        <rFont val="Calibri"/>
        <family val="2"/>
        <scheme val="minor"/>
      </rPr>
      <t>No baseboard heating.</t>
    </r>
  </si>
  <si>
    <t>Replace boiler with new steam oil-fired boiler. Replace breeching, combustion air dampers and ductwork.  Include heating zone and radiators in basement area.     Replace condensate pump with duplex condensate pump. Provide new insulated piping with new boiler system.•Provide condensate pump for dehumidifers with new PVC piping. Repipe condensate through window in boiler room.•Provide new insulation for supply ductwork. Provide grille or screen for return ductwork.  Provide wire mesh screen at inlets to ductwork.  Provide covers for transfer grilles on basement side.</t>
  </si>
  <si>
    <t xml:space="preserve">Repair front entry concrete. Install new side entry stairs and handrails. Remove and replace wood stairs.  Install vents throughout balance of soffits. </t>
  </si>
  <si>
    <t xml:space="preserve">Connect Garage to generator. Upgrade interior and exterior lighting for energy. Replace conduit, wiring, distribution panel.  Upgrade smoke/fire detection system. </t>
  </si>
  <si>
    <t xml:space="preserve">Paint corrugated metal shed roof. Install new roof shingles. Paint rafter ends and plywood.  Remove skylights and replace with solar light tubes. </t>
  </si>
  <si>
    <t>Install accessible toilet rm.  Enlarge landing at side entry and rebuild concrete paths.  Replace door hardware to be ADA compliant.  Replace handrails at basement entrance with ADA-compliant rails;  Modify basement door to provide 18" wide clear maneuvering space on the latch pull side of the door or install an automatic door opener.•Install a lowered transaction counter at circulation desk;  Replace door hardware with hardware that is operable without tight grasping, pinching or twisting (lever type);  Replace stairwell railings with ADA-compliant rails;  Install a ramp in the basement to provide an accessible route to all book store stacks.•Install an elevator to provide vertical access to all floors.</t>
  </si>
  <si>
    <t>Purchase Manet Road MWRA Resevoir</t>
  </si>
  <si>
    <t>Auburndale Library - Building Envelope and Roof</t>
  </si>
  <si>
    <t>Short Term Space Needs -Add Modular Classrooms at Four Schools</t>
  </si>
  <si>
    <t>Build/Upgrade Data Center</t>
  </si>
  <si>
    <t>Upgrade to Voice Over IP Phone System</t>
  </si>
  <si>
    <t>Prepare for rapidly growing data volumes, improve speed, reliability and security.  Enable new technologies (VOIP, Cloud-based apps)</t>
  </si>
  <si>
    <t>Create consolidated industry standard data center(s).  (HVAC, fire protection, virtual servers)</t>
  </si>
  <si>
    <t>Replace 12 year old phone systems with VOIP (data/voice) capable systems, allowing faster move-add-change and lower hardware costs.</t>
  </si>
  <si>
    <t>Assess storm system in 3 phases to determine prioritized list of needed investments for next 10-20 years.</t>
  </si>
  <si>
    <t>Assessment of Stormwater System</t>
  </si>
  <si>
    <t>FY14 Streets include:  Lowell (Comm-Hull), Webster, Homer, Wolcott, Hawthorn, Weldon, Bellevue, Summit, Lenox, Regent, Washington (2 sections), Morton, Hunnewell, Country Club, Cross Hill, Saw Mill Brook Pkwy, Carver, Randolph,Newtonville, Farlow,Crafts,Evelyn,Paulson, Gordon,Wyman,Centre,Walnut,Beacon,Lyman,Centre Green, Ridge Rd, Oakmont, Peach Tree Ln</t>
  </si>
  <si>
    <t>Street Paving -  36 Streets</t>
  </si>
  <si>
    <t>Improve pedestrian safety.  Repair/replacement of .5 miles in poor condition; new sidewalks .5 miles in village centers, school zones, on major roads.</t>
  </si>
  <si>
    <t>Provide ADA Access Curb Cuts to sidewalks</t>
  </si>
  <si>
    <t>Five acre parcel located at Manet Road has been surplused by the MWRA in January 2013.  There is interest by the community to retain the open space/passive recreation.  A working group led by the Planning Dept is prioritizing the uses for the Community at which time the City can ascertain what they would be willing to pay for the parcel.</t>
  </si>
  <si>
    <t>Melt snow from village squares in lieu of snow farms sited around the City.  Reduces hauling and remediation costs associated with large storms.</t>
  </si>
  <si>
    <t xml:space="preserve">Replace Fire Dept Rescue Truck </t>
  </si>
  <si>
    <t>DPW Equipment Shelter - Crafts St</t>
  </si>
  <si>
    <t>Provide (new) covered storage for vehicles and equipment.  Covered storage extends life of vehicles and equipment</t>
  </si>
  <si>
    <t>LED (Light Emitting Diode) Streetlights replacement</t>
  </si>
  <si>
    <t xml:space="preserve">Failed State inspection for superstructure on Elliot Street bridge.  Needham will match $400,000 for inspection/design cost.  </t>
  </si>
  <si>
    <t>Total Need:</t>
  </si>
  <si>
    <t>5-yr Total Funded:</t>
  </si>
  <si>
    <t xml:space="preserve">$10M anticipated from MSBA. Renovate/ replace 92 yr old school due to poor condition, aging bldg systems and inadequate space per State Ed standards. </t>
  </si>
  <si>
    <t xml:space="preserve">Station #3 needs major repairs/upgrades. Co-located w/ Fire HQs.  Upgrade systems for code compliance, access &amp; female firefighters.  </t>
  </si>
  <si>
    <r>
      <t>Destruction by Hurricane Sandy has made this project urgent</t>
    </r>
    <r>
      <rPr>
        <b/>
        <sz val="8"/>
        <rFont val="Calibri"/>
        <family val="2"/>
        <scheme val="minor"/>
      </rPr>
      <t xml:space="preserve">. </t>
    </r>
    <r>
      <rPr>
        <sz val="8"/>
        <rFont val="Calibri"/>
        <family val="2"/>
        <scheme val="minor"/>
      </rPr>
      <t xml:space="preserve"> Consolidate to one new shed. </t>
    </r>
  </si>
  <si>
    <t xml:space="preserve">Replace Special Opns 1994 Ford w/ 174K miles. Truck needed for specialized rescue, with specialized tools and equipment. </t>
  </si>
  <si>
    <t xml:space="preserve">Education Center - Exterior Masonry Work </t>
  </si>
  <si>
    <t>Unknown</t>
  </si>
  <si>
    <t>Replace the department Self-Contained Breathing Apparatus (SCBA), purchased in FY 2007.</t>
  </si>
  <si>
    <t>City Hall - Masonry Restoration of War Memorial Steps</t>
  </si>
  <si>
    <t>City Hall - Repair Front stone entry stairs and Accessible Ramp</t>
  </si>
  <si>
    <t>City Hall - War Memorial Auditorium HVAC Improvements</t>
  </si>
  <si>
    <t xml:space="preserve">Restore historic hall to improve mechanical &amp; electrical systems.  </t>
  </si>
  <si>
    <t>Replace Fire Dept Pumper Truck in Newton Corner  (Engine 1)</t>
  </si>
  <si>
    <t>Replace Engine 1; a1999 Pumper Truck which will exceed life expectancy in 2014, and replace a 1992 spare engine.</t>
  </si>
  <si>
    <t>**Revised schedule of projects:  Includes all new projects as of April 17, 2013</t>
  </si>
  <si>
    <t xml:space="preserve">Project will address aging building systems, code upgrades, access and accommodations for female firefighters.  Wires Division merged @ $2.1M </t>
  </si>
  <si>
    <t>Applied for Green Community and NSTAR grant funding--  extended life expectancy (15 yrs) and energy reduction sufficient to pay P&amp;I w/3.3 year payback</t>
  </si>
  <si>
    <t>Fire Station #10 &amp; Wires Division (Dedham Street) Rebuild</t>
  </si>
  <si>
    <t>Up to 10 new modular classrooms at Burr, Horace Mann, Bowen and Mason Rice.  Project includes sprinklers at Mason Rice.</t>
  </si>
  <si>
    <t xml:space="preserve">Design only-- renovate Archives area for compact, environmentally controlled archives storage; add accessible entrance ramp, and code compliance upgrades </t>
  </si>
  <si>
    <t>Fire Station #3 &amp; HQs - Renovate/Replace Newton Centre Station</t>
  </si>
  <si>
    <t>Elliot Street Bridge inspection, design, and repair of (co-owned with Town of Needham)</t>
  </si>
  <si>
    <t>Snow Melting Machine</t>
  </si>
  <si>
    <t>Bonding (includes MSBA Funds)</t>
  </si>
  <si>
    <t>Community Development Block Grant (CDBG)</t>
  </si>
  <si>
    <t>Chapter 90- Override for Streets/Sidewalks</t>
  </si>
  <si>
    <t>Community Preservation Act Funds (CPA Eligible)</t>
  </si>
  <si>
    <t>Energy Stabilization Fund</t>
  </si>
  <si>
    <t>Enterprise Funds (Water, Sewer &amp; Stormwater)</t>
  </si>
  <si>
    <t xml:space="preserve">Other Funding 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</si>
</sst>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0.000"/>
    <numFmt numFmtId="167" formatCode="&quot;$&quot;#,##0"/>
    <numFmt numFmtId="168" formatCode="0.0%"/>
  </numFmts>
  <fonts count="49">
    <font>
      <sz val="11"/>
      <color theme="1"/>
      <name val="Calibri"/>
      <family val="2"/>
      <scheme val="minor"/>
    </font>
    <font>
      <sz val="11"/>
      <color theme="1"/>
      <name val="Calibri"/>
      <family val="2"/>
      <scheme val="minor"/>
    </font>
    <font>
      <b/>
      <sz val="11"/>
      <color theme="1"/>
      <name val="Calibri"/>
      <family val="2"/>
      <scheme val="minor"/>
    </font>
    <font>
      <b/>
      <sz val="10"/>
      <color indexed="8"/>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sz val="8"/>
      <color indexed="8"/>
      <name val="Calibri"/>
      <family val="2"/>
      <scheme val="minor"/>
    </font>
    <font>
      <b/>
      <sz val="8"/>
      <color indexed="8"/>
      <name val="Calibri"/>
      <family val="2"/>
      <scheme val="minor"/>
    </font>
    <font>
      <sz val="8"/>
      <color rgb="FFFF0000"/>
      <name val="Calibri"/>
      <family val="2"/>
      <scheme val="minor"/>
    </font>
    <font>
      <sz val="11"/>
      <color theme="1"/>
      <name val="Times New Roman"/>
      <family val="2"/>
    </font>
    <font>
      <b/>
      <sz val="8"/>
      <color rgb="FFFF0000"/>
      <name val="Calibri"/>
      <family val="2"/>
      <scheme val="minor"/>
    </font>
    <font>
      <sz val="11"/>
      <color indexed="8"/>
      <name val="Times New Roman"/>
      <family val="2"/>
    </font>
    <font>
      <sz val="10"/>
      <name val="Arial"/>
      <family val="2"/>
    </font>
    <font>
      <sz val="10"/>
      <color theme="1"/>
      <name val="Arial1"/>
    </font>
    <font>
      <sz val="10"/>
      <color theme="1"/>
      <name val="Calibri"/>
      <family val="2"/>
      <scheme val="minor"/>
    </font>
    <font>
      <b/>
      <sz val="12"/>
      <color indexed="8"/>
      <name val="Calibri"/>
      <family val="2"/>
      <scheme val="minor"/>
    </font>
    <font>
      <b/>
      <sz val="12"/>
      <color theme="0"/>
      <name val="Calibri"/>
      <family val="2"/>
      <scheme val="minor"/>
    </font>
    <font>
      <sz val="11"/>
      <name val="Calibri"/>
      <family val="2"/>
      <scheme val="minor"/>
    </font>
    <font>
      <sz val="12"/>
      <color theme="0"/>
      <name val="Calibri"/>
      <family val="2"/>
      <scheme val="minor"/>
    </font>
    <font>
      <b/>
      <sz val="12"/>
      <color theme="1"/>
      <name val="Calibri"/>
      <family val="2"/>
      <scheme val="minor"/>
    </font>
    <font>
      <b/>
      <sz val="12"/>
      <color indexed="8"/>
      <name val="Arial"/>
      <family val="2"/>
    </font>
    <font>
      <sz val="12"/>
      <color indexed="8"/>
      <name val="Arial"/>
      <family val="2"/>
    </font>
    <font>
      <sz val="10"/>
      <color indexed="8"/>
      <name val="Arial"/>
      <family val="2"/>
    </font>
    <font>
      <b/>
      <sz val="11"/>
      <color indexed="8"/>
      <name val="Calibri"/>
      <family val="2"/>
      <scheme val="minor"/>
    </font>
    <font>
      <b/>
      <sz val="14"/>
      <color indexed="8"/>
      <name val="Calibri"/>
      <family val="2"/>
      <scheme val="minor"/>
    </font>
    <font>
      <b/>
      <sz val="14"/>
      <color theme="1"/>
      <name val="Calibri"/>
      <family val="2"/>
      <scheme val="minor"/>
    </font>
    <font>
      <sz val="10"/>
      <name val="Calibri"/>
      <family val="2"/>
      <scheme val="minor"/>
    </font>
    <font>
      <b/>
      <sz val="10"/>
      <color rgb="FFFF0000"/>
      <name val="Calibri"/>
      <family val="2"/>
      <scheme val="minor"/>
    </font>
    <font>
      <b/>
      <sz val="11"/>
      <name val="Calibri"/>
      <family val="2"/>
      <scheme val="minor"/>
    </font>
    <font>
      <sz val="9"/>
      <color indexed="81"/>
      <name val="Tahoma"/>
      <family val="2"/>
    </font>
    <font>
      <b/>
      <sz val="9"/>
      <color indexed="81"/>
      <name val="Tahoma"/>
      <family val="2"/>
    </font>
    <font>
      <sz val="12"/>
      <color theme="1"/>
      <name val="Calibri"/>
      <family val="2"/>
      <scheme val="minor"/>
    </font>
    <font>
      <sz val="11"/>
      <color rgb="FFFF0000"/>
      <name val="Calibri"/>
      <family val="2"/>
      <scheme val="minor"/>
    </font>
    <font>
      <sz val="11"/>
      <color rgb="FFFF3300"/>
      <name val="Calibri"/>
      <family val="2"/>
      <scheme val="minor"/>
    </font>
    <font>
      <b/>
      <sz val="11"/>
      <color rgb="FFFF3300"/>
      <name val="Calibri"/>
      <family val="2"/>
      <scheme val="minor"/>
    </font>
    <font>
      <sz val="10"/>
      <color rgb="FFFF3300"/>
      <name val="Calibri"/>
      <family val="2"/>
      <scheme val="minor"/>
    </font>
    <font>
      <b/>
      <sz val="10"/>
      <name val="Calibri"/>
      <family val="2"/>
      <scheme val="minor"/>
    </font>
    <font>
      <sz val="10"/>
      <color rgb="FFFF0000"/>
      <name val="Calibri"/>
      <family val="2"/>
      <scheme val="minor"/>
    </font>
    <font>
      <b/>
      <sz val="11"/>
      <color rgb="FFFF0000"/>
      <name val="Calibri"/>
      <family val="2"/>
      <scheme val="minor"/>
    </font>
    <font>
      <sz val="9"/>
      <color theme="1"/>
      <name val="Calibri"/>
      <family val="2"/>
      <scheme val="minor"/>
    </font>
    <font>
      <b/>
      <sz val="11"/>
      <color rgb="FF0070C0"/>
      <name val="Calibri"/>
      <family val="2"/>
      <scheme val="minor"/>
    </font>
    <font>
      <b/>
      <sz val="30"/>
      <color indexed="8"/>
      <name val="Calibri"/>
      <family val="2"/>
      <scheme val="minor"/>
    </font>
    <font>
      <sz val="8"/>
      <color rgb="FF0070C0"/>
      <name val="Calibri"/>
      <family val="2"/>
      <scheme val="minor"/>
    </font>
    <font>
      <b/>
      <sz val="16"/>
      <color theme="1"/>
      <name val="Calibri"/>
      <family val="2"/>
      <scheme val="minor"/>
    </font>
    <font>
      <u/>
      <sz val="22"/>
      <color theme="1"/>
      <name val="Calibri"/>
      <family val="2"/>
      <scheme val="minor"/>
    </font>
    <font>
      <b/>
      <u/>
      <sz val="20"/>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7C5D"/>
        <bgColor indexed="64"/>
      </patternFill>
    </fill>
    <fill>
      <patternFill patternType="solid">
        <fgColor rgb="FFFFFF00"/>
        <bgColor indexed="64"/>
      </patternFill>
    </fill>
    <fill>
      <patternFill patternType="solid">
        <fgColor theme="6" tint="0.79998168889431442"/>
        <bgColor indexed="64"/>
      </patternFill>
    </fill>
  </fills>
  <borders count="73">
    <border>
      <left/>
      <right/>
      <top/>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auto="1"/>
      </right>
      <top style="hair">
        <color auto="1"/>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auto="1"/>
      </left>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style="hair">
        <color auto="1"/>
      </right>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style="hair">
        <color auto="1"/>
      </left>
      <right style="thin">
        <color indexed="64"/>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right/>
      <top/>
      <bottom style="hair">
        <color auto="1"/>
      </bottom>
      <diagonal/>
    </border>
    <border>
      <left/>
      <right style="thin">
        <color indexed="64"/>
      </right>
      <top/>
      <bottom style="hair">
        <color auto="1"/>
      </bottom>
      <diagonal/>
    </border>
    <border>
      <left style="hair">
        <color auto="1"/>
      </left>
      <right/>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style="hair">
        <color auto="1"/>
      </right>
      <top style="hair">
        <color auto="1"/>
      </top>
      <bottom/>
      <diagonal/>
    </border>
    <border>
      <left style="thin">
        <color indexed="64"/>
      </left>
      <right style="hair">
        <color auto="1"/>
      </right>
      <top style="hair">
        <color auto="1"/>
      </top>
      <bottom/>
      <diagonal/>
    </border>
    <border>
      <left style="thin">
        <color auto="1"/>
      </left>
      <right style="thin">
        <color auto="1"/>
      </right>
      <top style="hair">
        <color auto="1"/>
      </top>
      <bottom/>
      <diagonal/>
    </border>
    <border>
      <left style="thin">
        <color indexed="64"/>
      </left>
      <right/>
      <top/>
      <bottom style="hair">
        <color auto="1"/>
      </bottom>
      <diagonal/>
    </border>
    <border>
      <left style="thin">
        <color auto="1"/>
      </left>
      <right style="thin">
        <color auto="1"/>
      </right>
      <top/>
      <bottom/>
      <diagonal/>
    </border>
    <border>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top style="thin">
        <color indexed="64"/>
      </top>
      <bottom style="thin">
        <color indexed="64"/>
      </bottom>
      <diagonal/>
    </border>
    <border>
      <left style="thin">
        <color indexed="64"/>
      </left>
      <right/>
      <top style="hair">
        <color auto="1"/>
      </top>
      <bottom/>
      <diagonal/>
    </border>
    <border>
      <left style="thin">
        <color indexed="64"/>
      </left>
      <right style="hair">
        <color indexed="64"/>
      </right>
      <top style="hair">
        <color auto="1"/>
      </top>
      <bottom style="thin">
        <color indexed="64"/>
      </bottom>
      <diagonal/>
    </border>
    <border>
      <left style="hair">
        <color indexed="64"/>
      </left>
      <right style="hair">
        <color indexed="64"/>
      </right>
      <top style="hair">
        <color auto="1"/>
      </top>
      <bottom style="thin">
        <color indexed="64"/>
      </bottom>
      <diagonal/>
    </border>
    <border>
      <left style="hair">
        <color indexed="64"/>
      </left>
      <right style="thin">
        <color auto="1"/>
      </right>
      <top style="hair">
        <color auto="1"/>
      </top>
      <bottom style="thin">
        <color indexed="64"/>
      </bottom>
      <diagonal/>
    </border>
    <border>
      <left/>
      <right style="hair">
        <color auto="1"/>
      </right>
      <top style="hair">
        <color auto="1"/>
      </top>
      <bottom style="thin">
        <color indexed="64"/>
      </bottom>
      <diagonal/>
    </border>
    <border>
      <left style="thin">
        <color indexed="64"/>
      </left>
      <right style="hair">
        <color auto="1"/>
      </right>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44" fontId="14" fillId="0" borderId="0" applyFont="0" applyFill="0" applyBorder="0" applyAlignment="0" applyProtection="0"/>
    <xf numFmtId="0" fontId="15" fillId="0" borderId="0"/>
    <xf numFmtId="0" fontId="16" fillId="0" borderId="0"/>
  </cellStyleXfs>
  <cellXfs count="754">
    <xf numFmtId="0" fontId="0" fillId="0" borderId="0" xfId="0"/>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top" wrapText="1"/>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6" fillId="0" borderId="5"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Fill="1" applyBorder="1" applyAlignment="1">
      <alignment horizontal="left" vertical="top" wrapText="1"/>
    </xf>
    <xf numFmtId="0" fontId="5"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3" applyFont="1" applyBorder="1" applyAlignment="1">
      <alignment horizontal="left" vertical="top" wrapText="1"/>
    </xf>
    <xf numFmtId="0" fontId="8" fillId="0" borderId="5" xfId="0" applyFont="1" applyFill="1" applyBorder="1" applyAlignment="1">
      <alignment horizontal="left" vertical="top" wrapText="1"/>
    </xf>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top" wrapText="1"/>
    </xf>
    <xf numFmtId="0" fontId="10" fillId="0" borderId="5" xfId="0" applyFont="1" applyBorder="1" applyAlignment="1">
      <alignment horizontal="left" vertical="center" wrapText="1"/>
    </xf>
    <xf numFmtId="0" fontId="9" fillId="0" borderId="5" xfId="0" applyFont="1" applyFill="1" applyBorder="1" applyAlignment="1">
      <alignment horizontal="left" vertical="center" wrapText="1"/>
    </xf>
    <xf numFmtId="0" fontId="8" fillId="0" borderId="5" xfId="3" applyFont="1" applyFill="1" applyBorder="1" applyAlignment="1">
      <alignment horizontal="left" vertical="top" wrapText="1"/>
    </xf>
    <xf numFmtId="0" fontId="8" fillId="0" borderId="5" xfId="0" applyFont="1" applyBorder="1" applyAlignment="1">
      <alignment horizontal="left" vertical="top" wrapText="1"/>
    </xf>
    <xf numFmtId="0" fontId="8" fillId="0" borderId="5" xfId="0" applyFont="1" applyBorder="1" applyAlignment="1">
      <alignment horizontal="left" vertical="center" wrapText="1"/>
    </xf>
    <xf numFmtId="0" fontId="7"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left" vertical="top" wrapText="1"/>
    </xf>
    <xf numFmtId="0" fontId="8" fillId="0" borderId="5" xfId="3" applyFont="1" applyFill="1" applyBorder="1" applyAlignment="1">
      <alignment horizontal="left" vertical="center" wrapText="1"/>
    </xf>
    <xf numFmtId="0" fontId="7" fillId="0" borderId="5" xfId="0" applyFont="1" applyFill="1" applyBorder="1" applyAlignment="1">
      <alignment horizontal="left" vertical="top" wrapText="1"/>
    </xf>
    <xf numFmtId="0" fontId="9" fillId="0" borderId="5" xfId="3" applyFont="1" applyBorder="1" applyAlignment="1">
      <alignment vertical="top" wrapText="1"/>
    </xf>
    <xf numFmtId="0" fontId="8" fillId="0" borderId="5" xfId="5" applyFont="1" applyFill="1" applyBorder="1" applyAlignment="1">
      <alignment horizontal="left" vertical="top" wrapText="1"/>
    </xf>
    <xf numFmtId="0" fontId="7" fillId="0" borderId="5" xfId="3" applyFont="1" applyFill="1" applyBorder="1" applyAlignment="1">
      <alignment horizontal="left" vertical="center" wrapText="1"/>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4" fillId="6" borderId="7" xfId="0" applyFont="1" applyFill="1" applyBorder="1" applyAlignment="1">
      <alignment horizontal="center"/>
    </xf>
    <xf numFmtId="0" fontId="4" fillId="6" borderId="8" xfId="0" applyFont="1" applyFill="1" applyBorder="1" applyAlignment="1">
      <alignment horizontal="center"/>
    </xf>
    <xf numFmtId="9" fontId="17" fillId="0" borderId="9" xfId="2"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9" xfId="0" applyFont="1" applyBorder="1" applyAlignment="1">
      <alignment horizontal="center"/>
    </xf>
    <xf numFmtId="0" fontId="17" fillId="0" borderId="12" xfId="0" applyFont="1" applyBorder="1" applyAlignment="1">
      <alignment horizontal="center"/>
    </xf>
    <xf numFmtId="9" fontId="17" fillId="0" borderId="12" xfId="2"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0" xfId="0" applyFont="1" applyAlignment="1">
      <alignment horizontal="center"/>
    </xf>
    <xf numFmtId="0" fontId="3" fillId="8" borderId="15"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18" fillId="10" borderId="19"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4" borderId="15" xfId="0" applyFont="1" applyFill="1" applyBorder="1" applyAlignment="1">
      <alignment horizontal="center" vertical="center" wrapText="1"/>
    </xf>
    <xf numFmtId="9" fontId="0" fillId="0" borderId="24" xfId="2" applyFont="1" applyBorder="1" applyAlignment="1">
      <alignment horizontal="center" vertical="center"/>
    </xf>
    <xf numFmtId="0" fontId="17" fillId="0" borderId="24" xfId="0" applyFont="1" applyBorder="1" applyAlignment="1">
      <alignment horizontal="center" vertical="center"/>
    </xf>
    <xf numFmtId="0" fontId="18" fillId="11" borderId="15" xfId="0" applyFont="1" applyFill="1" applyBorder="1" applyAlignment="1">
      <alignment horizontal="center"/>
    </xf>
    <xf numFmtId="165" fontId="18" fillId="2" borderId="15" xfId="0" applyNumberFormat="1" applyFont="1" applyFill="1" applyBorder="1" applyAlignment="1">
      <alignment horizontal="center"/>
    </xf>
    <xf numFmtId="0" fontId="3" fillId="11" borderId="25"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0" fillId="2" borderId="28" xfId="0" applyNumberFormat="1" applyFont="1" applyFill="1" applyBorder="1" applyAlignment="1">
      <alignment horizontal="center" vertical="center"/>
    </xf>
    <xf numFmtId="0" fontId="0" fillId="2" borderId="4" xfId="0" applyNumberFormat="1" applyFont="1" applyFill="1" applyBorder="1" applyAlignment="1">
      <alignment horizontal="center" vertical="center"/>
    </xf>
    <xf numFmtId="0" fontId="0" fillId="2" borderId="29" xfId="0" applyNumberFormat="1" applyFont="1" applyFill="1" applyBorder="1" applyAlignment="1">
      <alignment horizontal="center" vertical="center"/>
    </xf>
    <xf numFmtId="0" fontId="10" fillId="11" borderId="15" xfId="0" applyFont="1" applyFill="1" applyBorder="1" applyAlignment="1">
      <alignment horizontal="center"/>
    </xf>
    <xf numFmtId="165" fontId="24" fillId="11" borderId="16" xfId="0" applyNumberFormat="1" applyFont="1" applyFill="1" applyBorder="1" applyAlignment="1">
      <alignment horizontal="center"/>
    </xf>
    <xf numFmtId="9" fontId="5" fillId="12" borderId="31" xfId="2" applyFont="1" applyFill="1" applyBorder="1" applyAlignment="1">
      <alignment horizontal="center" vertical="center"/>
    </xf>
    <xf numFmtId="0" fontId="23"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9" fontId="5" fillId="12" borderId="32" xfId="2" applyFont="1" applyFill="1" applyBorder="1" applyAlignment="1">
      <alignment horizontal="center" vertical="center"/>
    </xf>
    <xf numFmtId="2" fontId="5" fillId="12" borderId="4" xfId="0" applyNumberFormat="1" applyFont="1" applyFill="1" applyBorder="1" applyAlignment="1">
      <alignment horizontal="center" vertical="center"/>
    </xf>
    <xf numFmtId="2" fontId="5" fillId="12" borderId="29" xfId="0" applyNumberFormat="1" applyFont="1" applyFill="1" applyBorder="1" applyAlignment="1">
      <alignment horizontal="center" vertical="center"/>
    </xf>
    <xf numFmtId="2" fontId="5" fillId="12" borderId="34" xfId="0" applyNumberFormat="1" applyFont="1" applyFill="1" applyBorder="1" applyAlignment="1">
      <alignment horizontal="center" vertical="center"/>
    </xf>
    <xf numFmtId="166" fontId="22" fillId="10" borderId="34" xfId="0" applyNumberFormat="1" applyFont="1" applyFill="1" applyBorder="1" applyAlignment="1">
      <alignment horizontal="center" vertical="center"/>
    </xf>
    <xf numFmtId="0" fontId="0" fillId="0" borderId="0" xfId="0" applyAlignment="1">
      <alignment textRotation="90"/>
    </xf>
    <xf numFmtId="0" fontId="3" fillId="13" borderId="25"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0" fillId="2" borderId="16" xfId="0" applyFill="1" applyBorder="1"/>
    <xf numFmtId="0" fontId="2" fillId="2" borderId="35" xfId="0" applyFont="1" applyFill="1" applyBorder="1" applyAlignment="1">
      <alignment horizontal="center"/>
    </xf>
    <xf numFmtId="0" fontId="0" fillId="0" borderId="0" xfId="0" applyBorder="1" applyAlignment="1">
      <alignment vertical="center"/>
    </xf>
    <xf numFmtId="0" fontId="24" fillId="0" borderId="37" xfId="0" applyFont="1" applyBorder="1"/>
    <xf numFmtId="0" fontId="3" fillId="14" borderId="25" xfId="0" applyNumberFormat="1" applyFont="1" applyFill="1" applyBorder="1" applyAlignment="1">
      <alignment horizontal="center"/>
    </xf>
    <xf numFmtId="0" fontId="3" fillId="14" borderId="15" xfId="0" applyNumberFormat="1" applyFont="1" applyFill="1" applyBorder="1" applyAlignment="1">
      <alignment horizontal="center"/>
    </xf>
    <xf numFmtId="0" fontId="0" fillId="0" borderId="1" xfId="0" applyBorder="1" applyAlignment="1">
      <alignment vertical="center"/>
    </xf>
    <xf numFmtId="42" fontId="3" fillId="0" borderId="25" xfId="0" applyNumberFormat="1" applyFont="1" applyFill="1" applyBorder="1" applyAlignment="1">
      <alignment horizontal="center" vertical="center" wrapText="1"/>
    </xf>
    <xf numFmtId="42" fontId="3" fillId="0" borderId="3" xfId="0" applyNumberFormat="1" applyFont="1" applyFill="1" applyBorder="1" applyAlignment="1">
      <alignment horizontal="center" vertical="center" wrapText="1"/>
    </xf>
    <xf numFmtId="42" fontId="3" fillId="0" borderId="39" xfId="0" applyNumberFormat="1" applyFont="1" applyFill="1" applyBorder="1" applyAlignment="1">
      <alignment horizontal="center" vertical="center" wrapText="1"/>
    </xf>
    <xf numFmtId="0" fontId="24" fillId="0" borderId="40" xfId="0" applyFont="1" applyBorder="1"/>
    <xf numFmtId="42" fontId="3" fillId="14" borderId="33" xfId="0" applyNumberFormat="1" applyFont="1" applyFill="1" applyBorder="1" applyAlignment="1">
      <alignment horizontal="center"/>
    </xf>
    <xf numFmtId="42" fontId="3" fillId="14" borderId="39" xfId="0" applyNumberFormat="1" applyFont="1" applyFill="1" applyBorder="1" applyAlignment="1">
      <alignment horizontal="center"/>
    </xf>
    <xf numFmtId="0" fontId="3" fillId="12" borderId="38" xfId="0" applyFont="1" applyFill="1" applyBorder="1"/>
    <xf numFmtId="0" fontId="5" fillId="0" borderId="29" xfId="0" applyFont="1" applyFill="1" applyBorder="1" applyAlignment="1">
      <alignment horizontal="center" vertical="center" wrapText="1"/>
    </xf>
    <xf numFmtId="0" fontId="17" fillId="0" borderId="41" xfId="0" applyFont="1" applyBorder="1" applyAlignment="1">
      <alignment horizontal="left" vertical="center"/>
    </xf>
    <xf numFmtId="0" fontId="5" fillId="0" borderId="42" xfId="0" applyFont="1" applyFill="1" applyBorder="1" applyAlignment="1">
      <alignment horizontal="center" vertical="center" wrapText="1"/>
    </xf>
    <xf numFmtId="0" fontId="17" fillId="0" borderId="37" xfId="0" applyFont="1" applyBorder="1" applyAlignment="1">
      <alignment horizontal="left" vertical="center"/>
    </xf>
    <xf numFmtId="0" fontId="5" fillId="0" borderId="42" xfId="0" applyFont="1" applyBorder="1" applyAlignment="1">
      <alignment horizontal="center" vertical="center" wrapText="1"/>
    </xf>
    <xf numFmtId="0" fontId="8" fillId="0" borderId="42" xfId="0" applyFont="1" applyBorder="1" applyAlignment="1">
      <alignment horizontal="center" vertical="center" wrapText="1"/>
    </xf>
    <xf numFmtId="0" fontId="2" fillId="0" borderId="0" xfId="0" applyFont="1" applyAlignment="1">
      <alignment horizontal="right"/>
    </xf>
    <xf numFmtId="0" fontId="0" fillId="2" borderId="21" xfId="0" applyFill="1" applyBorder="1" applyAlignment="1">
      <alignment vertical="center"/>
    </xf>
    <xf numFmtId="0" fontId="0" fillId="2" borderId="43" xfId="0" applyFill="1" applyBorder="1" applyAlignment="1">
      <alignment vertical="center"/>
    </xf>
    <xf numFmtId="0" fontId="0" fillId="2" borderId="0" xfId="0" applyFill="1" applyBorder="1" applyAlignment="1">
      <alignment vertical="center"/>
    </xf>
    <xf numFmtId="0" fontId="0" fillId="2" borderId="44" xfId="0" applyFill="1" applyBorder="1" applyAlignment="1">
      <alignment vertical="center"/>
    </xf>
    <xf numFmtId="0" fontId="0" fillId="2" borderId="1" xfId="0" applyFill="1" applyBorder="1" applyAlignment="1">
      <alignment vertical="center"/>
    </xf>
    <xf numFmtId="167" fontId="0" fillId="0" borderId="0" xfId="0" applyNumberFormat="1"/>
    <xf numFmtId="167" fontId="3" fillId="14" borderId="25" xfId="0" applyNumberFormat="1" applyFont="1" applyFill="1" applyBorder="1" applyAlignment="1">
      <alignment horizontal="center"/>
    </xf>
    <xf numFmtId="42" fontId="17" fillId="0" borderId="4" xfId="0" applyNumberFormat="1" applyFont="1" applyBorder="1" applyAlignment="1">
      <alignment horizontal="center" vertical="center"/>
    </xf>
    <xf numFmtId="42" fontId="0" fillId="0" borderId="0" xfId="0" applyNumberFormat="1"/>
    <xf numFmtId="42" fontId="17" fillId="0" borderId="28" xfId="0" applyNumberFormat="1" applyFont="1" applyBorder="1" applyAlignment="1">
      <alignment horizontal="center" vertical="center"/>
    </xf>
    <xf numFmtId="42" fontId="0" fillId="0" borderId="0" xfId="0" applyNumberFormat="1" applyBorder="1" applyAlignment="1">
      <alignment vertical="center"/>
    </xf>
    <xf numFmtId="42" fontId="0" fillId="0" borderId="1" xfId="0" applyNumberFormat="1" applyBorder="1" applyAlignment="1">
      <alignment vertical="center"/>
    </xf>
    <xf numFmtId="42" fontId="5" fillId="0" borderId="45" xfId="0" applyNumberFormat="1" applyFont="1" applyFill="1" applyBorder="1" applyAlignment="1" applyProtection="1">
      <alignment horizontal="center" vertical="center" wrapText="1"/>
      <protection locked="0"/>
    </xf>
    <xf numFmtId="42" fontId="5" fillId="0" borderId="45" xfId="0" applyNumberFormat="1" applyFont="1" applyBorder="1" applyAlignment="1" applyProtection="1">
      <alignment horizontal="center" vertical="center" wrapText="1"/>
      <protection locked="0"/>
    </xf>
    <xf numFmtId="0" fontId="9" fillId="0" borderId="5" xfId="1" applyNumberFormat="1" applyFont="1" applyFill="1" applyBorder="1" applyAlignment="1">
      <alignment horizontal="left" vertical="top" wrapText="1"/>
    </xf>
    <xf numFmtId="42" fontId="17" fillId="0" borderId="4" xfId="0" applyNumberFormat="1" applyFont="1" applyFill="1" applyBorder="1" applyAlignment="1">
      <alignment horizontal="center" vertical="center"/>
    </xf>
    <xf numFmtId="0" fontId="6" fillId="0" borderId="5" xfId="0" applyFont="1" applyBorder="1" applyAlignment="1">
      <alignment vertical="center" wrapText="1"/>
    </xf>
    <xf numFmtId="0" fontId="3" fillId="3" borderId="3" xfId="0" applyFont="1" applyFill="1" applyBorder="1" applyAlignment="1">
      <alignment horizontal="center" vertical="center" wrapText="1"/>
    </xf>
    <xf numFmtId="164" fontId="9" fillId="0" borderId="5" xfId="1" applyNumberFormat="1" applyFont="1" applyFill="1" applyBorder="1" applyAlignment="1">
      <alignment horizontal="left" vertical="top" wrapText="1"/>
    </xf>
    <xf numFmtId="42" fontId="17" fillId="0" borderId="28" xfId="0" applyNumberFormat="1" applyFont="1" applyFill="1" applyBorder="1" applyAlignment="1">
      <alignment horizontal="center" vertical="center"/>
    </xf>
    <xf numFmtId="42" fontId="17" fillId="0" borderId="18" xfId="0" applyNumberFormat="1" applyFont="1" applyFill="1" applyBorder="1" applyAlignment="1">
      <alignment horizontal="center" vertical="center"/>
    </xf>
    <xf numFmtId="42" fontId="17" fillId="0" borderId="5" xfId="0" applyNumberFormat="1" applyFont="1" applyFill="1" applyBorder="1" applyAlignment="1">
      <alignment horizontal="center" vertical="center"/>
    </xf>
    <xf numFmtId="167" fontId="17" fillId="0" borderId="28" xfId="0" applyNumberFormat="1" applyFont="1" applyFill="1" applyBorder="1" applyAlignment="1">
      <alignment vertical="center"/>
    </xf>
    <xf numFmtId="42" fontId="17" fillId="0" borderId="47" xfId="0" applyNumberFormat="1" applyFont="1" applyFill="1" applyBorder="1" applyAlignment="1">
      <alignment horizontal="center" vertical="center"/>
    </xf>
    <xf numFmtId="42" fontId="17" fillId="0" borderId="49" xfId="0" applyNumberFormat="1" applyFont="1" applyFill="1" applyBorder="1" applyAlignment="1">
      <alignment horizontal="center" vertical="center"/>
    </xf>
    <xf numFmtId="42" fontId="17" fillId="0" borderId="37" xfId="0" applyNumberFormat="1" applyFont="1" applyFill="1" applyBorder="1" applyAlignment="1">
      <alignment horizontal="center" vertical="center"/>
    </xf>
    <xf numFmtId="0" fontId="0" fillId="2" borderId="21" xfId="0" applyFill="1" applyBorder="1" applyAlignment="1">
      <alignment vertical="top"/>
    </xf>
    <xf numFmtId="0" fontId="0" fillId="2" borderId="0" xfId="0" applyFill="1" applyBorder="1" applyAlignment="1">
      <alignment vertical="top"/>
    </xf>
    <xf numFmtId="0" fontId="0" fillId="2" borderId="1" xfId="0" applyFill="1" applyBorder="1" applyAlignment="1">
      <alignment vertical="top"/>
    </xf>
    <xf numFmtId="164" fontId="9" fillId="0" borderId="5" xfId="1" applyNumberFormat="1" applyFont="1" applyBorder="1" applyAlignment="1">
      <alignment horizontal="left" vertical="top" wrapText="1"/>
    </xf>
    <xf numFmtId="0" fontId="9" fillId="0" borderId="5" xfId="0" applyFont="1" applyBorder="1" applyAlignment="1">
      <alignment horizontal="left" vertical="top" wrapText="1"/>
    </xf>
    <xf numFmtId="0" fontId="9" fillId="0" borderId="5" xfId="4" applyNumberFormat="1" applyFont="1" applyBorder="1" applyAlignment="1">
      <alignment horizontal="left" vertical="top" wrapText="1"/>
    </xf>
    <xf numFmtId="0" fontId="9" fillId="0" borderId="5" xfId="1" applyNumberFormat="1" applyFont="1" applyBorder="1" applyAlignment="1">
      <alignment horizontal="left" vertical="top" wrapText="1"/>
    </xf>
    <xf numFmtId="49" fontId="8" fillId="0" borderId="5" xfId="0" applyNumberFormat="1" applyFont="1" applyFill="1" applyBorder="1" applyAlignment="1">
      <alignment horizontal="left" vertical="top" wrapText="1"/>
    </xf>
    <xf numFmtId="0" fontId="9" fillId="0" borderId="5" xfId="3" applyFont="1" applyFill="1" applyBorder="1" applyAlignment="1">
      <alignment horizontal="left" vertical="top" wrapText="1"/>
    </xf>
    <xf numFmtId="164" fontId="9" fillId="0" borderId="5" xfId="4" applyNumberFormat="1" applyFont="1" applyFill="1" applyBorder="1" applyAlignment="1">
      <alignment horizontal="left" vertical="top" wrapText="1"/>
    </xf>
    <xf numFmtId="0" fontId="0" fillId="0" borderId="0" xfId="0" applyAlignment="1">
      <alignment vertical="top"/>
    </xf>
    <xf numFmtId="0" fontId="2" fillId="0" borderId="0" xfId="0" applyFont="1"/>
    <xf numFmtId="0" fontId="2" fillId="0" borderId="0" xfId="0" applyFont="1" applyAlignment="1">
      <alignment horizontal="center"/>
    </xf>
    <xf numFmtId="0" fontId="0" fillId="0" borderId="0" xfId="0" applyFont="1" applyAlignment="1">
      <alignment horizontal="right"/>
    </xf>
    <xf numFmtId="0" fontId="22" fillId="4" borderId="24" xfId="0" applyFont="1" applyFill="1" applyBorder="1"/>
    <xf numFmtId="0" fontId="22" fillId="4" borderId="48" xfId="0" applyFont="1" applyFill="1" applyBorder="1"/>
    <xf numFmtId="0" fontId="34" fillId="4" borderId="48" xfId="0" applyFont="1" applyFill="1" applyBorder="1"/>
    <xf numFmtId="0" fontId="34" fillId="4" borderId="5" xfId="0" applyFont="1" applyFill="1" applyBorder="1"/>
    <xf numFmtId="0" fontId="34" fillId="4" borderId="24" xfId="0" applyFont="1" applyFill="1" applyBorder="1"/>
    <xf numFmtId="0" fontId="34" fillId="4" borderId="18" xfId="0" applyFont="1" applyFill="1" applyBorder="1"/>
    <xf numFmtId="0" fontId="34" fillId="4" borderId="31" xfId="0" applyFont="1" applyFill="1" applyBorder="1"/>
    <xf numFmtId="0" fontId="34" fillId="4" borderId="37" xfId="0" applyFont="1" applyFill="1" applyBorder="1"/>
    <xf numFmtId="0" fontId="22" fillId="4" borderId="31" xfId="0" applyFont="1" applyFill="1" applyBorder="1"/>
    <xf numFmtId="0" fontId="22" fillId="4" borderId="31" xfId="0" applyFont="1" applyFill="1" applyBorder="1" applyAlignment="1">
      <alignment horizontal="center"/>
    </xf>
    <xf numFmtId="167" fontId="17" fillId="4" borderId="37" xfId="0" applyNumberFormat="1" applyFont="1" applyFill="1" applyBorder="1"/>
    <xf numFmtId="0" fontId="34" fillId="0" borderId="0" xfId="0" applyFont="1"/>
    <xf numFmtId="0" fontId="34" fillId="0" borderId="24" xfId="0" applyFont="1" applyBorder="1"/>
    <xf numFmtId="0" fontId="2" fillId="0" borderId="48" xfId="0" applyFont="1" applyBorder="1"/>
    <xf numFmtId="0" fontId="34" fillId="0" borderId="48" xfId="0" applyFont="1" applyBorder="1"/>
    <xf numFmtId="0" fontId="34" fillId="0" borderId="5" xfId="0" applyFont="1" applyBorder="1"/>
    <xf numFmtId="0" fontId="34" fillId="0" borderId="18" xfId="0" applyFont="1" applyBorder="1"/>
    <xf numFmtId="167" fontId="0" fillId="0" borderId="31" xfId="0" applyNumberFormat="1" applyFont="1" applyBorder="1"/>
    <xf numFmtId="167" fontId="0" fillId="0" borderId="37" xfId="0" applyNumberFormat="1" applyFont="1" applyBorder="1"/>
    <xf numFmtId="167" fontId="0" fillId="0" borderId="5" xfId="0" applyNumberFormat="1" applyFont="1" applyBorder="1"/>
    <xf numFmtId="167" fontId="0" fillId="0" borderId="24" xfId="0" applyNumberFormat="1" applyFont="1" applyBorder="1"/>
    <xf numFmtId="167" fontId="2" fillId="0" borderId="31" xfId="0" applyNumberFormat="1" applyFont="1" applyBorder="1"/>
    <xf numFmtId="167" fontId="0" fillId="0" borderId="31" xfId="0" applyNumberFormat="1" applyFont="1" applyBorder="1" applyAlignment="1">
      <alignment horizontal="center"/>
    </xf>
    <xf numFmtId="167" fontId="17" fillId="0" borderId="37" xfId="0" applyNumberFormat="1" applyFont="1" applyBorder="1"/>
    <xf numFmtId="0" fontId="0" fillId="0" borderId="24" xfId="0" applyBorder="1"/>
    <xf numFmtId="0" fontId="0" fillId="0" borderId="48" xfId="0" applyBorder="1"/>
    <xf numFmtId="167" fontId="0" fillId="0" borderId="5" xfId="0" applyNumberFormat="1" applyBorder="1"/>
    <xf numFmtId="167" fontId="0" fillId="0" borderId="24" xfId="0" applyNumberFormat="1" applyBorder="1"/>
    <xf numFmtId="0" fontId="0" fillId="0" borderId="18" xfId="0" applyBorder="1"/>
    <xf numFmtId="167" fontId="0" fillId="0" borderId="31" xfId="0" applyNumberFormat="1" applyFont="1" applyFill="1" applyBorder="1"/>
    <xf numFmtId="167" fontId="0" fillId="0" borderId="37" xfId="0" applyNumberFormat="1" applyBorder="1"/>
    <xf numFmtId="0" fontId="0" fillId="0" borderId="5" xfId="0" applyBorder="1"/>
    <xf numFmtId="0" fontId="17" fillId="0" borderId="37" xfId="0" applyFont="1" applyBorder="1"/>
    <xf numFmtId="0" fontId="0" fillId="0" borderId="48" xfId="0" applyFont="1" applyBorder="1"/>
    <xf numFmtId="167" fontId="0" fillId="0" borderId="18" xfId="0" applyNumberFormat="1" applyBorder="1"/>
    <xf numFmtId="0" fontId="0" fillId="0" borderId="31" xfId="0" applyBorder="1"/>
    <xf numFmtId="0" fontId="0" fillId="0" borderId="48" xfId="0" applyFont="1" applyBorder="1" applyAlignment="1">
      <alignment horizontal="right"/>
    </xf>
    <xf numFmtId="6" fontId="17" fillId="0" borderId="37" xfId="0" applyNumberFormat="1" applyFont="1" applyBorder="1"/>
    <xf numFmtId="167" fontId="0" fillId="0" borderId="31" xfId="0" applyNumberFormat="1" applyBorder="1"/>
    <xf numFmtId="0" fontId="0" fillId="0" borderId="47" xfId="0" applyBorder="1"/>
    <xf numFmtId="0" fontId="2" fillId="0" borderId="45" xfId="0" applyFont="1" applyBorder="1"/>
    <xf numFmtId="0" fontId="0" fillId="0" borderId="45" xfId="0" applyFont="1" applyBorder="1"/>
    <xf numFmtId="167" fontId="0" fillId="0" borderId="47" xfId="0" applyNumberFormat="1" applyBorder="1"/>
    <xf numFmtId="167" fontId="0" fillId="0" borderId="28" xfId="0" applyNumberFormat="1" applyBorder="1"/>
    <xf numFmtId="167" fontId="0" fillId="0" borderId="4" xfId="0" applyNumberFormat="1" applyBorder="1"/>
    <xf numFmtId="167" fontId="0" fillId="0" borderId="34" xfId="0" applyNumberFormat="1" applyFont="1" applyFill="1" applyBorder="1"/>
    <xf numFmtId="167" fontId="0" fillId="0" borderId="41" xfId="0" applyNumberFormat="1" applyFont="1" applyBorder="1"/>
    <xf numFmtId="167" fontId="0" fillId="0" borderId="4" xfId="0" applyNumberFormat="1" applyFont="1" applyBorder="1"/>
    <xf numFmtId="167" fontId="0" fillId="0" borderId="47" xfId="0" applyNumberFormat="1" applyFont="1" applyBorder="1"/>
    <xf numFmtId="167" fontId="2" fillId="0" borderId="34" xfId="0" applyNumberFormat="1" applyFont="1" applyBorder="1"/>
    <xf numFmtId="167" fontId="0" fillId="0" borderId="34" xfId="0" applyNumberFormat="1" applyFont="1" applyBorder="1" applyAlignment="1">
      <alignment horizontal="center"/>
    </xf>
    <xf numFmtId="0" fontId="17" fillId="0" borderId="41" xfId="0" applyFont="1" applyBorder="1"/>
    <xf numFmtId="0" fontId="0" fillId="0" borderId="50" xfId="0" applyBorder="1"/>
    <xf numFmtId="167" fontId="0" fillId="0" borderId="52" xfId="0" applyNumberFormat="1" applyBorder="1"/>
    <xf numFmtId="167" fontId="0" fillId="0" borderId="50" xfId="0" applyNumberFormat="1" applyBorder="1"/>
    <xf numFmtId="167" fontId="0" fillId="0" borderId="54" xfId="0" applyNumberFormat="1" applyBorder="1"/>
    <xf numFmtId="167" fontId="0" fillId="0" borderId="40" xfId="0" applyNumberFormat="1" applyBorder="1"/>
    <xf numFmtId="167" fontId="2" fillId="0" borderId="54" xfId="0" applyNumberFormat="1" applyFont="1" applyBorder="1"/>
    <xf numFmtId="167" fontId="20" fillId="0" borderId="31" xfId="0" applyNumberFormat="1" applyFont="1" applyBorder="1"/>
    <xf numFmtId="167" fontId="0" fillId="0" borderId="18" xfId="0" applyNumberFormat="1" applyFont="1" applyBorder="1"/>
    <xf numFmtId="0" fontId="2" fillId="0" borderId="48" xfId="0" applyFont="1" applyBorder="1" applyAlignment="1">
      <alignment horizontal="left"/>
    </xf>
    <xf numFmtId="167" fontId="20" fillId="0" borderId="37" xfId="0" applyNumberFormat="1" applyFont="1" applyBorder="1"/>
    <xf numFmtId="167" fontId="0" fillId="0" borderId="0" xfId="0" applyNumberFormat="1" applyBorder="1"/>
    <xf numFmtId="167" fontId="0" fillId="0" borderId="24" xfId="0" applyNumberFormat="1" applyFont="1" applyFill="1" applyBorder="1"/>
    <xf numFmtId="167" fontId="0" fillId="0" borderId="37" xfId="0" applyNumberFormat="1" applyFont="1" applyFill="1" applyBorder="1"/>
    <xf numFmtId="167" fontId="0" fillId="0" borderId="5" xfId="0" applyNumberFormat="1" applyFont="1" applyFill="1" applyBorder="1"/>
    <xf numFmtId="167" fontId="20" fillId="0" borderId="37" xfId="0" applyNumberFormat="1" applyFont="1" applyFill="1" applyBorder="1"/>
    <xf numFmtId="167" fontId="0" fillId="0" borderId="18" xfId="0" applyNumberFormat="1" applyFont="1" applyFill="1" applyBorder="1"/>
    <xf numFmtId="167" fontId="0" fillId="0" borderId="49" xfId="0" applyNumberFormat="1" applyFont="1" applyFill="1" applyBorder="1"/>
    <xf numFmtId="0" fontId="36" fillId="0" borderId="24" xfId="0" applyFont="1" applyBorder="1"/>
    <xf numFmtId="0" fontId="36" fillId="0" borderId="48" xfId="0" applyFont="1" applyBorder="1"/>
    <xf numFmtId="167" fontId="20" fillId="0" borderId="18" xfId="0" applyNumberFormat="1" applyFont="1" applyFill="1" applyBorder="1"/>
    <xf numFmtId="0" fontId="36" fillId="0" borderId="0" xfId="0" applyFont="1"/>
    <xf numFmtId="167" fontId="0" fillId="0" borderId="48" xfId="0" applyNumberFormat="1" applyBorder="1"/>
    <xf numFmtId="167" fontId="0" fillId="0" borderId="49" xfId="0" applyNumberFormat="1" applyBorder="1"/>
    <xf numFmtId="167" fontId="35" fillId="0" borderId="31" xfId="0" applyNumberFormat="1" applyFont="1" applyBorder="1"/>
    <xf numFmtId="167" fontId="35" fillId="0" borderId="37" xfId="0" applyNumberFormat="1" applyFont="1" applyBorder="1"/>
    <xf numFmtId="167" fontId="0" fillId="0" borderId="42" xfId="0" applyNumberFormat="1" applyFont="1" applyBorder="1"/>
    <xf numFmtId="0" fontId="31" fillId="0" borderId="0" xfId="0" applyFont="1"/>
    <xf numFmtId="167" fontId="0" fillId="0" borderId="24" xfId="0" applyNumberFormat="1" applyFill="1" applyBorder="1"/>
    <xf numFmtId="167" fontId="0" fillId="0" borderId="42" xfId="0" applyNumberFormat="1" applyFill="1" applyBorder="1"/>
    <xf numFmtId="167" fontId="0" fillId="0" borderId="5" xfId="0" applyNumberFormat="1" applyFill="1" applyBorder="1"/>
    <xf numFmtId="167" fontId="20" fillId="0" borderId="31" xfId="0" applyNumberFormat="1" applyFont="1" applyFill="1" applyBorder="1"/>
    <xf numFmtId="167" fontId="0" fillId="0" borderId="48" xfId="0" applyNumberFormat="1" applyFill="1" applyBorder="1"/>
    <xf numFmtId="167" fontId="0" fillId="0" borderId="42" xfId="0" applyNumberFormat="1" applyFont="1" applyFill="1" applyBorder="1"/>
    <xf numFmtId="167" fontId="0" fillId="0" borderId="42" xfId="0" applyNumberFormat="1" applyBorder="1"/>
    <xf numFmtId="0" fontId="17" fillId="0" borderId="40" xfId="0" applyFont="1" applyBorder="1"/>
    <xf numFmtId="167" fontId="2" fillId="0" borderId="31" xfId="0" applyNumberFormat="1" applyFont="1" applyBorder="1" applyAlignment="1">
      <alignment horizontal="center"/>
    </xf>
    <xf numFmtId="167" fontId="2" fillId="0" borderId="31" xfId="0" applyNumberFormat="1" applyFont="1" applyFill="1" applyBorder="1"/>
    <xf numFmtId="167" fontId="0" fillId="0" borderId="41" xfId="0" applyNumberFormat="1" applyBorder="1"/>
    <xf numFmtId="0" fontId="0" fillId="0" borderId="45" xfId="0" applyBorder="1"/>
    <xf numFmtId="0" fontId="2" fillId="0" borderId="24" xfId="0" applyFont="1" applyBorder="1"/>
    <xf numFmtId="0" fontId="0" fillId="0" borderId="37" xfId="0" applyFont="1" applyBorder="1"/>
    <xf numFmtId="0" fontId="2" fillId="0" borderId="24" xfId="0" applyFont="1" applyBorder="1" applyAlignment="1">
      <alignment horizontal="center"/>
    </xf>
    <xf numFmtId="0" fontId="0" fillId="0" borderId="24" xfId="0" applyFont="1" applyBorder="1" applyAlignment="1">
      <alignment horizontal="center"/>
    </xf>
    <xf numFmtId="0" fontId="0" fillId="0" borderId="0" xfId="0" applyFont="1"/>
    <xf numFmtId="167" fontId="0" fillId="0" borderId="31" xfId="0" applyNumberFormat="1" applyFill="1" applyBorder="1"/>
    <xf numFmtId="167" fontId="2" fillId="0" borderId="31" xfId="0" applyNumberFormat="1" applyFont="1" applyFill="1" applyBorder="1" applyAlignment="1">
      <alignment horizontal="center"/>
    </xf>
    <xf numFmtId="0" fontId="0" fillId="0" borderId="48" xfId="0" applyBorder="1" applyAlignment="1">
      <alignment horizontal="right"/>
    </xf>
    <xf numFmtId="0" fontId="0" fillId="0" borderId="5" xfId="0" applyFill="1" applyBorder="1"/>
    <xf numFmtId="167" fontId="0" fillId="0" borderId="48" xfId="0" applyNumberFormat="1" applyFont="1" applyFill="1" applyBorder="1"/>
    <xf numFmtId="0" fontId="0" fillId="0" borderId="5" xfId="0" applyFont="1" applyFill="1" applyBorder="1"/>
    <xf numFmtId="167" fontId="40" fillId="0" borderId="37" xfId="0" applyNumberFormat="1" applyFont="1" applyBorder="1"/>
    <xf numFmtId="167" fontId="20" fillId="0" borderId="5" xfId="0" applyNumberFormat="1" applyFont="1" applyFill="1" applyBorder="1"/>
    <xf numFmtId="167" fontId="2" fillId="0" borderId="56" xfId="0" applyNumberFormat="1" applyFont="1" applyBorder="1" applyAlignment="1">
      <alignment horizontal="center"/>
    </xf>
    <xf numFmtId="0" fontId="17" fillId="0" borderId="0" xfId="0" applyFont="1"/>
    <xf numFmtId="167" fontId="2" fillId="0" borderId="5" xfId="0" applyNumberFormat="1" applyFont="1" applyBorder="1"/>
    <xf numFmtId="0" fontId="2" fillId="0" borderId="31" xfId="0" applyFont="1" applyBorder="1"/>
    <xf numFmtId="0" fontId="2" fillId="0" borderId="31" xfId="0" applyFont="1" applyBorder="1" applyAlignment="1">
      <alignment horizontal="center"/>
    </xf>
    <xf numFmtId="167" fontId="17" fillId="0" borderId="31" xfId="0" applyNumberFormat="1" applyFont="1" applyFill="1" applyBorder="1" applyAlignment="1">
      <alignment horizontal="center"/>
    </xf>
    <xf numFmtId="167" fontId="2" fillId="0" borderId="24" xfId="0" applyNumberFormat="1" applyFont="1" applyBorder="1"/>
    <xf numFmtId="167" fontId="2" fillId="0" borderId="18" xfId="0" applyNumberFormat="1" applyFont="1" applyBorder="1"/>
    <xf numFmtId="167" fontId="2" fillId="0" borderId="37" xfId="0" applyNumberFormat="1" applyFont="1" applyBorder="1"/>
    <xf numFmtId="167" fontId="2" fillId="0" borderId="5" xfId="0" applyNumberFormat="1" applyFont="1" applyFill="1" applyBorder="1"/>
    <xf numFmtId="167" fontId="2" fillId="0" borderId="24" xfId="0" applyNumberFormat="1" applyFont="1" applyFill="1" applyBorder="1"/>
    <xf numFmtId="0" fontId="0" fillId="0" borderId="37" xfId="0" applyBorder="1"/>
    <xf numFmtId="167" fontId="0" fillId="0" borderId="18" xfId="0" applyNumberFormat="1" applyFill="1" applyBorder="1"/>
    <xf numFmtId="167" fontId="2" fillId="0" borderId="42" xfId="0" applyNumberFormat="1" applyFont="1" applyBorder="1"/>
    <xf numFmtId="0" fontId="0" fillId="0" borderId="5" xfId="0" applyFont="1" applyBorder="1"/>
    <xf numFmtId="167" fontId="2" fillId="0" borderId="0" xfId="0" applyNumberFormat="1" applyFont="1"/>
    <xf numFmtId="167" fontId="20" fillId="0" borderId="57" xfId="0" applyNumberFormat="1" applyFont="1" applyFill="1" applyBorder="1"/>
    <xf numFmtId="167" fontId="0" fillId="0" borderId="48" xfId="0" applyNumberFormat="1" applyFont="1" applyBorder="1"/>
    <xf numFmtId="167" fontId="0" fillId="0" borderId="49" xfId="0" applyNumberFormat="1" applyFill="1" applyBorder="1"/>
    <xf numFmtId="167" fontId="34" fillId="0" borderId="5" xfId="0" applyNumberFormat="1" applyFont="1" applyBorder="1"/>
    <xf numFmtId="167" fontId="34" fillId="0" borderId="24" xfId="0" applyNumberFormat="1" applyFont="1" applyBorder="1"/>
    <xf numFmtId="167" fontId="4" fillId="0" borderId="37" xfId="0" applyNumberFormat="1" applyFont="1" applyBorder="1"/>
    <xf numFmtId="0" fontId="22" fillId="4" borderId="5" xfId="0" applyFont="1" applyFill="1" applyBorder="1" applyAlignment="1">
      <alignment horizontal="left"/>
    </xf>
    <xf numFmtId="0" fontId="0" fillId="4" borderId="5" xfId="0" applyFill="1" applyBorder="1"/>
    <xf numFmtId="167" fontId="0" fillId="4" borderId="5" xfId="0" applyNumberFormat="1" applyFill="1" applyBorder="1"/>
    <xf numFmtId="167" fontId="0" fillId="4" borderId="24" xfId="0" applyNumberFormat="1" applyFill="1" applyBorder="1"/>
    <xf numFmtId="167" fontId="0" fillId="4" borderId="18" xfId="0" applyNumberFormat="1" applyFill="1" applyBorder="1"/>
    <xf numFmtId="0" fontId="0" fillId="4" borderId="31" xfId="0" applyFill="1" applyBorder="1"/>
    <xf numFmtId="0" fontId="0" fillId="4" borderId="37" xfId="0" applyFill="1" applyBorder="1"/>
    <xf numFmtId="0" fontId="0" fillId="4" borderId="24" xfId="0" applyFill="1" applyBorder="1"/>
    <xf numFmtId="0" fontId="2" fillId="4" borderId="31" xfId="0" applyFont="1" applyFill="1" applyBorder="1"/>
    <xf numFmtId="0" fontId="2" fillId="4" borderId="57" xfId="0" applyFont="1" applyFill="1" applyBorder="1" applyAlignment="1">
      <alignment horizontal="center"/>
    </xf>
    <xf numFmtId="0" fontId="17" fillId="4" borderId="37" xfId="0" applyFont="1" applyFill="1" applyBorder="1"/>
    <xf numFmtId="6" fontId="0" fillId="0" borderId="31" xfId="0" applyNumberFormat="1" applyBorder="1"/>
    <xf numFmtId="6" fontId="0" fillId="0" borderId="37" xfId="0" applyNumberFormat="1" applyBorder="1"/>
    <xf numFmtId="6" fontId="0" fillId="0" borderId="24" xfId="0" applyNumberFormat="1" applyBorder="1"/>
    <xf numFmtId="6" fontId="2" fillId="0" borderId="31" xfId="0" applyNumberFormat="1" applyFont="1" applyBorder="1"/>
    <xf numFmtId="6" fontId="2" fillId="0" borderId="57" xfId="0" applyNumberFormat="1" applyFont="1" applyBorder="1" applyAlignment="1">
      <alignment horizontal="center"/>
    </xf>
    <xf numFmtId="6" fontId="4" fillId="0" borderId="37" xfId="0" applyNumberFormat="1" applyFont="1" applyBorder="1" applyAlignment="1">
      <alignment horizontal="right"/>
    </xf>
    <xf numFmtId="6" fontId="2" fillId="0" borderId="31" xfId="0" applyNumberFormat="1" applyFont="1" applyBorder="1" applyAlignment="1">
      <alignment horizontal="center"/>
    </xf>
    <xf numFmtId="0" fontId="17" fillId="0" borderId="31" xfId="0" applyFont="1" applyBorder="1" applyAlignment="1">
      <alignment horizontal="center"/>
    </xf>
    <xf numFmtId="0" fontId="0" fillId="0" borderId="24" xfId="0" applyFill="1" applyBorder="1"/>
    <xf numFmtId="0" fontId="0" fillId="0" borderId="31" xfId="0" applyFill="1" applyBorder="1"/>
    <xf numFmtId="0" fontId="0" fillId="0" borderId="37" xfId="0" applyFill="1" applyBorder="1"/>
    <xf numFmtId="0" fontId="0" fillId="0" borderId="0" xfId="0" applyFill="1"/>
    <xf numFmtId="0" fontId="2" fillId="0" borderId="5" xfId="0" applyFont="1" applyBorder="1"/>
    <xf numFmtId="0" fontId="28" fillId="0" borderId="24" xfId="0" applyFont="1" applyBorder="1" applyAlignment="1">
      <alignment horizontal="left"/>
    </xf>
    <xf numFmtId="0" fontId="22" fillId="0" borderId="48" xfId="0" applyFont="1" applyBorder="1"/>
    <xf numFmtId="167" fontId="42" fillId="0" borderId="31" xfId="0" applyNumberFormat="1" applyFont="1" applyBorder="1" applyAlignment="1">
      <alignment horizontal="center"/>
    </xf>
    <xf numFmtId="6" fontId="4" fillId="0" borderId="37" xfId="0" applyNumberFormat="1" applyFont="1" applyBorder="1"/>
    <xf numFmtId="0" fontId="22" fillId="4" borderId="24" xfId="0" applyFont="1" applyFill="1" applyBorder="1" applyAlignment="1">
      <alignment horizontal="left"/>
    </xf>
    <xf numFmtId="0" fontId="0" fillId="4" borderId="48" xfId="0" applyFill="1" applyBorder="1"/>
    <xf numFmtId="0" fontId="2" fillId="4" borderId="31" xfId="0" applyFont="1" applyFill="1" applyBorder="1" applyAlignment="1">
      <alignment horizontal="center"/>
    </xf>
    <xf numFmtId="167" fontId="17" fillId="0" borderId="31" xfId="0" applyNumberFormat="1" applyFont="1" applyBorder="1" applyAlignment="1">
      <alignment horizontal="center"/>
    </xf>
    <xf numFmtId="167" fontId="42" fillId="0" borderId="37" xfId="0" applyNumberFormat="1" applyFont="1" applyBorder="1"/>
    <xf numFmtId="0" fontId="28" fillId="0" borderId="48" xfId="0" applyFont="1" applyBorder="1" applyAlignment="1">
      <alignment horizontal="right"/>
    </xf>
    <xf numFmtId="0" fontId="28" fillId="4" borderId="48" xfId="0" applyFont="1" applyFill="1" applyBorder="1"/>
    <xf numFmtId="0" fontId="34" fillId="0" borderId="37" xfId="0" applyFont="1" applyBorder="1"/>
    <xf numFmtId="0" fontId="2" fillId="0" borderId="50" xfId="0" applyFont="1" applyBorder="1"/>
    <xf numFmtId="167" fontId="2" fillId="0" borderId="49" xfId="0" applyNumberFormat="1" applyFont="1" applyBorder="1"/>
    <xf numFmtId="167" fontId="0" fillId="0" borderId="0" xfId="0" applyNumberFormat="1" applyFont="1" applyBorder="1"/>
    <xf numFmtId="167" fontId="20" fillId="0" borderId="18" xfId="0" applyNumberFormat="1" applyFont="1" applyBorder="1"/>
    <xf numFmtId="167" fontId="20" fillId="0" borderId="5" xfId="0" applyNumberFormat="1" applyFont="1" applyBorder="1"/>
    <xf numFmtId="167" fontId="20" fillId="0" borderId="24" xfId="0" applyNumberFormat="1" applyFont="1" applyBorder="1"/>
    <xf numFmtId="167" fontId="31" fillId="0" borderId="31" xfId="0" applyNumberFormat="1" applyFont="1" applyBorder="1"/>
    <xf numFmtId="167" fontId="43" fillId="0" borderId="31" xfId="0" applyNumberFormat="1" applyFont="1" applyBorder="1" applyAlignment="1">
      <alignment horizontal="center"/>
    </xf>
    <xf numFmtId="167" fontId="31" fillId="0" borderId="31" xfId="0" applyNumberFormat="1" applyFont="1" applyBorder="1" applyAlignment="1">
      <alignment horizontal="center"/>
    </xf>
    <xf numFmtId="0" fontId="17" fillId="0" borderId="24" xfId="0" applyFont="1" applyBorder="1" applyAlignment="1">
      <alignment horizontal="center"/>
    </xf>
    <xf numFmtId="0" fontId="0" fillId="0" borderId="0" xfId="0" applyBorder="1"/>
    <xf numFmtId="167" fontId="0" fillId="0" borderId="49" xfId="0" applyNumberFormat="1" applyFont="1" applyBorder="1"/>
    <xf numFmtId="0" fontId="2" fillId="0" borderId="24" xfId="0" applyFont="1" applyBorder="1" applyAlignment="1">
      <alignment horizontal="left"/>
    </xf>
    <xf numFmtId="0" fontId="2" fillId="0" borderId="48" xfId="0" applyFont="1" applyFill="1" applyBorder="1"/>
    <xf numFmtId="167" fontId="35" fillId="0" borderId="24" xfId="0" applyNumberFormat="1" applyFont="1" applyBorder="1"/>
    <xf numFmtId="167" fontId="22" fillId="0" borderId="31" xfId="0" applyNumberFormat="1" applyFont="1" applyBorder="1" applyAlignment="1">
      <alignment horizontal="center"/>
    </xf>
    <xf numFmtId="0" fontId="2" fillId="0" borderId="50" xfId="0" applyFont="1" applyBorder="1" applyAlignment="1">
      <alignment horizontal="center"/>
    </xf>
    <xf numFmtId="0" fontId="0" fillId="0" borderId="51" xfId="0" applyBorder="1"/>
    <xf numFmtId="0" fontId="0" fillId="0" borderId="52" xfId="0" applyBorder="1"/>
    <xf numFmtId="0" fontId="0" fillId="0" borderId="53" xfId="0" applyBorder="1"/>
    <xf numFmtId="167" fontId="2" fillId="0" borderId="54" xfId="0" applyNumberFormat="1" applyFont="1" applyBorder="1" applyAlignment="1">
      <alignment horizontal="center"/>
    </xf>
    <xf numFmtId="0" fontId="2" fillId="17" borderId="19" xfId="0" applyFont="1" applyFill="1" applyBorder="1" applyAlignment="1">
      <alignment horizontal="center" vertical="center"/>
    </xf>
    <xf numFmtId="0" fontId="0" fillId="17" borderId="36" xfId="0" applyFill="1" applyBorder="1" applyAlignment="1">
      <alignment vertical="center"/>
    </xf>
    <xf numFmtId="0" fontId="0" fillId="17" borderId="3" xfId="0" applyFill="1" applyBorder="1" applyAlignment="1">
      <alignment vertical="center"/>
    </xf>
    <xf numFmtId="0" fontId="0" fillId="17" borderId="59" xfId="0" applyFill="1" applyBorder="1" applyAlignment="1">
      <alignment vertical="center"/>
    </xf>
    <xf numFmtId="167" fontId="22" fillId="17" borderId="15" xfId="0" applyNumberFormat="1" applyFont="1" applyFill="1" applyBorder="1" applyAlignment="1">
      <alignment vertical="center"/>
    </xf>
    <xf numFmtId="167" fontId="28" fillId="17" borderId="15" xfId="0" applyNumberFormat="1" applyFont="1" applyFill="1" applyBorder="1" applyAlignment="1">
      <alignment horizontal="center" vertical="center"/>
    </xf>
    <xf numFmtId="167" fontId="4" fillId="17" borderId="30" xfId="0" applyNumberFormat="1" applyFont="1" applyFill="1" applyBorder="1" applyAlignment="1">
      <alignment vertical="center"/>
    </xf>
    <xf numFmtId="0" fontId="0" fillId="0" borderId="0" xfId="0" applyAlignment="1">
      <alignment vertical="center"/>
    </xf>
    <xf numFmtId="0" fontId="2" fillId="0" borderId="48" xfId="0" applyFont="1" applyFill="1" applyBorder="1" applyAlignment="1">
      <alignment horizontal="left"/>
    </xf>
    <xf numFmtId="0" fontId="0" fillId="0" borderId="48" xfId="0" applyBorder="1" applyAlignment="1">
      <alignment horizontal="left"/>
    </xf>
    <xf numFmtId="0" fontId="22" fillId="0" borderId="48" xfId="0" applyFont="1" applyBorder="1" applyAlignment="1">
      <alignment horizontal="left"/>
    </xf>
    <xf numFmtId="0" fontId="22" fillId="0" borderId="24" xfId="0" applyFont="1" applyBorder="1"/>
    <xf numFmtId="0" fontId="22" fillId="0" borderId="48" xfId="0" applyFont="1" applyBorder="1" applyAlignment="1">
      <alignment horizontal="right"/>
    </xf>
    <xf numFmtId="0" fontId="28" fillId="17" borderId="36" xfId="0" applyFont="1" applyFill="1" applyBorder="1" applyAlignment="1">
      <alignment horizontal="right" vertical="center"/>
    </xf>
    <xf numFmtId="0" fontId="0" fillId="0" borderId="43" xfId="0" applyBorder="1"/>
    <xf numFmtId="0" fontId="34" fillId="4" borderId="49" xfId="0" applyFont="1" applyFill="1" applyBorder="1"/>
    <xf numFmtId="0" fontId="34" fillId="0" borderId="49" xfId="0" applyFont="1" applyBorder="1"/>
    <xf numFmtId="0" fontId="0" fillId="0" borderId="49" xfId="0" applyBorder="1"/>
    <xf numFmtId="0" fontId="2" fillId="0" borderId="49" xfId="0" applyFont="1" applyBorder="1"/>
    <xf numFmtId="0" fontId="0" fillId="0" borderId="49" xfId="0" applyFont="1" applyBorder="1" applyAlignment="1">
      <alignment horizontal="right"/>
    </xf>
    <xf numFmtId="0" fontId="0" fillId="0" borderId="43" xfId="0" applyFont="1" applyBorder="1"/>
    <xf numFmtId="0" fontId="2" fillId="0" borderId="49" xfId="0" applyFont="1" applyBorder="1" applyAlignment="1">
      <alignment horizontal="left"/>
    </xf>
    <xf numFmtId="0" fontId="0" fillId="0" borderId="18" xfId="0" applyFont="1" applyBorder="1"/>
    <xf numFmtId="0" fontId="0" fillId="0" borderId="49" xfId="0" applyBorder="1" applyAlignment="1">
      <alignment horizontal="right"/>
    </xf>
    <xf numFmtId="0" fontId="0" fillId="0" borderId="49" xfId="0" applyFont="1" applyBorder="1"/>
    <xf numFmtId="0" fontId="0" fillId="0" borderId="43" xfId="0" applyBorder="1" applyAlignment="1">
      <alignment horizontal="right"/>
    </xf>
    <xf numFmtId="0" fontId="2" fillId="0" borderId="18" xfId="0" applyFont="1" applyFill="1" applyBorder="1" applyAlignment="1">
      <alignment horizontal="left"/>
    </xf>
    <xf numFmtId="0" fontId="22" fillId="0" borderId="18" xfId="0" applyFont="1" applyBorder="1" applyAlignment="1">
      <alignment horizontal="right"/>
    </xf>
    <xf numFmtId="0" fontId="0" fillId="4" borderId="18" xfId="0" applyFill="1" applyBorder="1"/>
    <xf numFmtId="0" fontId="0" fillId="0" borderId="18" xfId="0" applyFill="1" applyBorder="1"/>
    <xf numFmtId="0" fontId="2" fillId="0" borderId="18" xfId="0" applyFont="1" applyBorder="1" applyAlignment="1">
      <alignment horizontal="left"/>
    </xf>
    <xf numFmtId="0" fontId="0" fillId="0" borderId="18" xfId="0" applyBorder="1" applyAlignment="1">
      <alignment horizontal="left"/>
    </xf>
    <xf numFmtId="0" fontId="22" fillId="0" borderId="18" xfId="0" applyFont="1" applyBorder="1"/>
    <xf numFmtId="0" fontId="29" fillId="0" borderId="49" xfId="0" applyFont="1" applyBorder="1" applyAlignment="1">
      <alignment vertical="top"/>
    </xf>
    <xf numFmtId="0" fontId="0" fillId="0" borderId="28" xfId="0" applyBorder="1"/>
    <xf numFmtId="0" fontId="22" fillId="0" borderId="18" xfId="0" applyFont="1" applyBorder="1" applyAlignment="1">
      <alignment horizontal="left"/>
    </xf>
    <xf numFmtId="0" fontId="34" fillId="0" borderId="18" xfId="0" applyFont="1" applyBorder="1" applyAlignment="1">
      <alignment horizontal="left"/>
    </xf>
    <xf numFmtId="0" fontId="22" fillId="0" borderId="18" xfId="0" applyFont="1" applyBorder="1" applyAlignment="1">
      <alignment horizontal="right" vertical="center"/>
    </xf>
    <xf numFmtId="0" fontId="28" fillId="0" borderId="18" xfId="0" applyFont="1" applyBorder="1" applyAlignment="1">
      <alignment horizontal="right"/>
    </xf>
    <xf numFmtId="0" fontId="2" fillId="0" borderId="18" xfId="0" applyFont="1" applyBorder="1"/>
    <xf numFmtId="0" fontId="0" fillId="0" borderId="18" xfId="0" applyBorder="1" applyAlignment="1">
      <alignment horizontal="right"/>
    </xf>
    <xf numFmtId="0" fontId="2" fillId="0" borderId="49" xfId="0" applyFont="1" applyFill="1" applyBorder="1"/>
    <xf numFmtId="0" fontId="35" fillId="0" borderId="18" xfId="0" applyFont="1" applyBorder="1"/>
    <xf numFmtId="0" fontId="28" fillId="17" borderId="25" xfId="0" applyFont="1" applyFill="1" applyBorder="1" applyAlignment="1">
      <alignment horizontal="right" vertical="center"/>
    </xf>
    <xf numFmtId="0" fontId="20" fillId="0" borderId="48" xfId="0" applyFont="1" applyBorder="1"/>
    <xf numFmtId="0" fontId="20" fillId="0" borderId="48" xfId="0" applyFont="1" applyBorder="1" applyAlignment="1">
      <alignment horizontal="right"/>
    </xf>
    <xf numFmtId="0" fontId="2" fillId="2" borderId="21" xfId="0" applyFont="1" applyFill="1" applyBorder="1" applyAlignment="1">
      <alignmen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top" wrapText="1"/>
    </xf>
    <xf numFmtId="0" fontId="0" fillId="0" borderId="28" xfId="0" applyFont="1" applyFill="1" applyBorder="1" applyAlignment="1">
      <alignment horizontal="center" vertical="center" wrapText="1"/>
    </xf>
    <xf numFmtId="9" fontId="0" fillId="0" borderId="47" xfId="2" applyFont="1" applyBorder="1" applyAlignment="1">
      <alignment horizontal="center" vertical="center"/>
    </xf>
    <xf numFmtId="0" fontId="17" fillId="0" borderId="47" xfId="0" applyFont="1" applyBorder="1" applyAlignment="1">
      <alignment horizontal="center" vertical="center"/>
    </xf>
    <xf numFmtId="9" fontId="5" fillId="12" borderId="34" xfId="2" applyFont="1" applyFill="1" applyBorder="1" applyAlignment="1">
      <alignment horizontal="center" vertical="center"/>
    </xf>
    <xf numFmtId="0" fontId="0" fillId="0" borderId="28" xfId="0" applyFont="1" applyBorder="1" applyAlignment="1">
      <alignment horizontal="center" vertical="center" wrapText="1"/>
    </xf>
    <xf numFmtId="0" fontId="17" fillId="0" borderId="31" xfId="0" applyFont="1" applyFill="1" applyBorder="1" applyAlignment="1">
      <alignment horizontal="center"/>
    </xf>
    <xf numFmtId="0" fontId="2" fillId="0" borderId="24" xfId="0" applyFont="1" applyFill="1" applyBorder="1"/>
    <xf numFmtId="167" fontId="2" fillId="0" borderId="18" xfId="0" applyNumberFormat="1" applyFont="1" applyFill="1" applyBorder="1"/>
    <xf numFmtId="0" fontId="0" fillId="0" borderId="24" xfId="0" applyFill="1" applyBorder="1" applyAlignment="1">
      <alignment horizontal="right"/>
    </xf>
    <xf numFmtId="0" fontId="2" fillId="0" borderId="18" xfId="0" applyFont="1" applyFill="1" applyBorder="1"/>
    <xf numFmtId="0" fontId="2" fillId="0" borderId="5" xfId="0" applyFont="1" applyFill="1" applyBorder="1"/>
    <xf numFmtId="6" fontId="2" fillId="0" borderId="37" xfId="0" applyNumberFormat="1" applyFont="1" applyBorder="1"/>
    <xf numFmtId="6" fontId="2" fillId="0" borderId="24" xfId="0" applyNumberFormat="1" applyFont="1" applyBorder="1"/>
    <xf numFmtId="0" fontId="20" fillId="0" borderId="49" xfId="0" applyFont="1" applyBorder="1" applyAlignment="1">
      <alignment horizontal="right"/>
    </xf>
    <xf numFmtId="0" fontId="29" fillId="0" borderId="37" xfId="0" applyFont="1" applyBorder="1"/>
    <xf numFmtId="167" fontId="0" fillId="0" borderId="31" xfId="0" applyNumberFormat="1" applyFont="1" applyBorder="1" applyAlignment="1">
      <alignment horizontal="center" wrapText="1"/>
    </xf>
    <xf numFmtId="167" fontId="20" fillId="0" borderId="31" xfId="0" applyNumberFormat="1" applyFont="1" applyBorder="1" applyAlignment="1">
      <alignment horizontal="center" wrapText="1"/>
    </xf>
    <xf numFmtId="0" fontId="17" fillId="0" borderId="18" xfId="0" applyFont="1" applyBorder="1"/>
    <xf numFmtId="0" fontId="2" fillId="0" borderId="31" xfId="0" applyFont="1" applyFill="1" applyBorder="1"/>
    <xf numFmtId="0" fontId="0" fillId="0" borderId="18" xfId="0" applyFont="1" applyBorder="1" applyAlignment="1">
      <alignment horizontal="left"/>
    </xf>
    <xf numFmtId="0" fontId="8" fillId="0" borderId="5" xfId="0" applyFont="1" applyBorder="1" applyAlignment="1">
      <alignment horizontal="center" vertical="center" wrapText="1"/>
    </xf>
    <xf numFmtId="0" fontId="0" fillId="0" borderId="60" xfId="0" applyBorder="1"/>
    <xf numFmtId="0" fontId="0" fillId="0" borderId="51" xfId="0" applyBorder="1" applyAlignment="1">
      <alignment horizontal="left"/>
    </xf>
    <xf numFmtId="0" fontId="0" fillId="0" borderId="51" xfId="0" applyBorder="1" applyAlignment="1"/>
    <xf numFmtId="0" fontId="20" fillId="0" borderId="24" xfId="0" applyFont="1" applyBorder="1" applyAlignment="1"/>
    <xf numFmtId="0" fontId="20" fillId="0" borderId="24" xfId="0" applyFont="1" applyBorder="1" applyAlignment="1">
      <alignment horizontal="left"/>
    </xf>
    <xf numFmtId="0" fontId="0" fillId="0" borderId="24" xfId="0" applyFont="1" applyBorder="1" applyAlignment="1">
      <alignment horizontal="left"/>
    </xf>
    <xf numFmtId="167" fontId="2" fillId="0" borderId="48" xfId="0" applyNumberFormat="1" applyFont="1" applyBorder="1"/>
    <xf numFmtId="0" fontId="31" fillId="0" borderId="48" xfId="0" applyFont="1" applyBorder="1"/>
    <xf numFmtId="167" fontId="31" fillId="0" borderId="37" xfId="0" applyNumberFormat="1" applyFont="1" applyBorder="1"/>
    <xf numFmtId="167" fontId="31" fillId="0" borderId="5" xfId="0" applyNumberFormat="1" applyFont="1" applyBorder="1"/>
    <xf numFmtId="167" fontId="31" fillId="0" borderId="24" xfId="0" applyNumberFormat="1" applyFont="1" applyBorder="1"/>
    <xf numFmtId="0" fontId="0" fillId="2" borderId="18" xfId="0" applyNumberFormat="1" applyFont="1" applyFill="1" applyBorder="1" applyAlignment="1">
      <alignment horizontal="center" vertical="center"/>
    </xf>
    <xf numFmtId="0" fontId="0" fillId="2" borderId="5" xfId="0" applyNumberFormat="1" applyFont="1" applyFill="1" applyBorder="1" applyAlignment="1">
      <alignment horizontal="center" vertical="center"/>
    </xf>
    <xf numFmtId="0" fontId="0" fillId="2" borderId="42" xfId="0" applyNumberFormat="1" applyFont="1" applyFill="1" applyBorder="1" applyAlignment="1">
      <alignment horizontal="center" vertical="center"/>
    </xf>
    <xf numFmtId="2" fontId="5" fillId="12" borderId="5" xfId="0" applyNumberFormat="1" applyFont="1" applyFill="1" applyBorder="1" applyAlignment="1">
      <alignment horizontal="center" vertical="center"/>
    </xf>
    <xf numFmtId="2" fontId="5" fillId="12" borderId="42" xfId="0" applyNumberFormat="1" applyFont="1" applyFill="1" applyBorder="1" applyAlignment="1">
      <alignment horizontal="center" vertical="center"/>
    </xf>
    <xf numFmtId="2" fontId="5" fillId="12" borderId="31" xfId="0" applyNumberFormat="1" applyFont="1" applyFill="1" applyBorder="1" applyAlignment="1">
      <alignment horizontal="center" vertical="center"/>
    </xf>
    <xf numFmtId="166" fontId="22" fillId="10" borderId="31" xfId="0" applyNumberFormat="1" applyFont="1" applyFill="1" applyBorder="1" applyAlignment="1">
      <alignment horizontal="center" vertical="center"/>
    </xf>
    <xf numFmtId="0" fontId="44" fillId="2" borderId="20" xfId="0" applyFont="1" applyFill="1" applyBorder="1" applyAlignment="1">
      <alignment horizontal="left" vertical="center"/>
    </xf>
    <xf numFmtId="0" fontId="2" fillId="0" borderId="51" xfId="0" applyFont="1" applyBorder="1" applyAlignment="1">
      <alignment horizontal="left"/>
    </xf>
    <xf numFmtId="0" fontId="22" fillId="0" borderId="48" xfId="0" applyFont="1" applyBorder="1" applyAlignment="1">
      <alignment horizontal="right"/>
    </xf>
    <xf numFmtId="0" fontId="0" fillId="0" borderId="51" xfId="0" applyFont="1" applyBorder="1" applyAlignment="1">
      <alignment horizontal="left"/>
    </xf>
    <xf numFmtId="6" fontId="5" fillId="0" borderId="37" xfId="0" applyNumberFormat="1" applyFont="1" applyBorder="1" applyAlignment="1">
      <alignment horizontal="right"/>
    </xf>
    <xf numFmtId="0" fontId="8" fillId="0" borderId="5" xfId="5" applyFont="1" applyBorder="1" applyAlignment="1">
      <alignment horizontal="left" vertical="top" wrapText="1"/>
    </xf>
    <xf numFmtId="42" fontId="17" fillId="0" borderId="55" xfId="0" applyNumberFormat="1" applyFont="1" applyFill="1" applyBorder="1" applyAlignment="1">
      <alignment horizontal="center" vertical="center"/>
    </xf>
    <xf numFmtId="42" fontId="17" fillId="0" borderId="18" xfId="0" applyNumberFormat="1" applyFont="1" applyBorder="1" applyAlignment="1">
      <alignment horizontal="center" vertical="center"/>
    </xf>
    <xf numFmtId="167" fontId="31" fillId="0" borderId="18" xfId="0" applyNumberFormat="1" applyFont="1" applyBorder="1"/>
    <xf numFmtId="0" fontId="4"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0" fillId="0" borderId="24" xfId="2" applyFont="1" applyFill="1" applyBorder="1" applyAlignment="1">
      <alignment horizontal="center" vertical="center"/>
    </xf>
    <xf numFmtId="0" fontId="17" fillId="0" borderId="24" xfId="0" applyFont="1" applyFill="1" applyBorder="1" applyAlignment="1">
      <alignment horizontal="center" vertical="center"/>
    </xf>
    <xf numFmtId="0" fontId="0" fillId="0" borderId="28"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xf>
    <xf numFmtId="0" fontId="26" fillId="14" borderId="39" xfId="0" applyFont="1" applyFill="1" applyBorder="1" applyAlignment="1">
      <alignment horizontal="center" vertical="center" wrapText="1"/>
    </xf>
    <xf numFmtId="0" fontId="3" fillId="14" borderId="25" xfId="0" applyNumberFormat="1" applyFont="1" applyFill="1" applyBorder="1" applyAlignment="1">
      <alignment horizontal="center" vertical="center"/>
    </xf>
    <xf numFmtId="42" fontId="3" fillId="14" borderId="3" xfId="0" applyNumberFormat="1" applyFont="1" applyFill="1" applyBorder="1" applyAlignment="1">
      <alignment horizontal="center" vertical="center"/>
    </xf>
    <xf numFmtId="42" fontId="3" fillId="14" borderId="39" xfId="0" applyNumberFormat="1" applyFont="1" applyFill="1" applyBorder="1" applyAlignment="1">
      <alignment horizontal="center" vertical="center"/>
    </xf>
    <xf numFmtId="42" fontId="17" fillId="0" borderId="28" xfId="0" applyNumberFormat="1" applyFont="1" applyFill="1" applyBorder="1" applyAlignment="1">
      <alignment horizontal="left" vertical="center"/>
    </xf>
    <xf numFmtId="42" fontId="17" fillId="0" borderId="4" xfId="0" applyNumberFormat="1" applyFont="1" applyFill="1" applyBorder="1" applyAlignment="1">
      <alignment horizontal="left" vertical="center"/>
    </xf>
    <xf numFmtId="42" fontId="17" fillId="0" borderId="18" xfId="0" applyNumberFormat="1" applyFont="1" applyFill="1" applyBorder="1" applyAlignment="1">
      <alignment horizontal="left" vertical="center"/>
    </xf>
    <xf numFmtId="42" fontId="17" fillId="0" borderId="5" xfId="0" applyNumberFormat="1" applyFont="1" applyFill="1" applyBorder="1" applyAlignment="1">
      <alignment horizontal="left" vertical="center"/>
    </xf>
    <xf numFmtId="42" fontId="17" fillId="0" borderId="42" xfId="0" applyNumberFormat="1" applyFont="1" applyFill="1" applyBorder="1" applyAlignment="1">
      <alignment horizontal="left" vertical="center"/>
    </xf>
    <xf numFmtId="0" fontId="7"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42" fontId="17" fillId="0" borderId="4" xfId="1" applyNumberFormat="1" applyFont="1" applyBorder="1" applyAlignment="1">
      <alignment horizontal="left" vertical="center"/>
    </xf>
    <xf numFmtId="42" fontId="17" fillId="0" borderId="4" xfId="1" applyNumberFormat="1" applyFont="1" applyBorder="1" applyAlignment="1">
      <alignment vertical="center"/>
    </xf>
    <xf numFmtId="0" fontId="3" fillId="3" borderId="59" xfId="0" applyFont="1" applyFill="1" applyBorder="1" applyAlignment="1">
      <alignment horizontal="center" vertical="center" wrapText="1"/>
    </xf>
    <xf numFmtId="0" fontId="24" fillId="0" borderId="21" xfId="0" applyFont="1" applyFill="1" applyBorder="1" applyAlignment="1">
      <alignment horizontal="left" indent="1"/>
    </xf>
    <xf numFmtId="0" fontId="0" fillId="0" borderId="21" xfId="0" applyBorder="1" applyAlignment="1">
      <alignment textRotation="90"/>
    </xf>
    <xf numFmtId="0" fontId="0" fillId="0" borderId="21" xfId="0" applyBorder="1"/>
    <xf numFmtId="0" fontId="0" fillId="0" borderId="21" xfId="0" applyBorder="1" applyAlignment="1">
      <alignment vertical="center"/>
    </xf>
    <xf numFmtId="42" fontId="0" fillId="0" borderId="21" xfId="0" applyNumberFormat="1" applyBorder="1" applyAlignment="1">
      <alignment vertical="center"/>
    </xf>
    <xf numFmtId="167" fontId="24" fillId="0" borderId="21" xfId="0" applyNumberFormat="1" applyFont="1" applyFill="1" applyBorder="1"/>
    <xf numFmtId="42" fontId="24" fillId="0" borderId="21" xfId="0" applyNumberFormat="1" applyFont="1" applyFill="1" applyBorder="1"/>
    <xf numFmtId="42" fontId="26" fillId="14" borderId="15" xfId="0" applyNumberFormat="1" applyFont="1" applyFill="1" applyBorder="1" applyAlignment="1">
      <alignment horizontal="center" vertical="center" wrapText="1"/>
    </xf>
    <xf numFmtId="0" fontId="3" fillId="11" borderId="19" xfId="0" applyFont="1" applyFill="1" applyBorder="1" applyAlignment="1">
      <alignment horizontal="center" vertical="center" wrapText="1"/>
    </xf>
    <xf numFmtId="2" fontId="22" fillId="6" borderId="55" xfId="0" applyNumberFormat="1" applyFont="1" applyFill="1" applyBorder="1" applyAlignment="1">
      <alignment horizontal="center" vertical="center"/>
    </xf>
    <xf numFmtId="2" fontId="22" fillId="6" borderId="49" xfId="0" applyNumberFormat="1" applyFont="1" applyFill="1" applyBorder="1" applyAlignment="1">
      <alignment horizontal="center" vertical="center"/>
    </xf>
    <xf numFmtId="0" fontId="3" fillId="15" borderId="30" xfId="0" applyFont="1" applyFill="1" applyBorder="1" applyAlignment="1">
      <alignment horizontal="center" vertical="center" wrapText="1"/>
    </xf>
    <xf numFmtId="165" fontId="17" fillId="0" borderId="46" xfId="0" applyNumberFormat="1" applyFont="1" applyFill="1" applyBorder="1" applyAlignment="1">
      <alignment horizontal="center" vertical="center"/>
    </xf>
    <xf numFmtId="165" fontId="17" fillId="0" borderId="57" xfId="0" applyNumberFormat="1" applyFont="1" applyFill="1" applyBorder="1" applyAlignment="1">
      <alignment horizontal="center" vertical="center"/>
    </xf>
    <xf numFmtId="42" fontId="2" fillId="0" borderId="0" xfId="0" applyNumberFormat="1" applyFont="1"/>
    <xf numFmtId="0" fontId="10" fillId="0" borderId="4" xfId="0" applyFont="1" applyFill="1" applyBorder="1" applyAlignment="1">
      <alignment horizontal="left" vertical="center" wrapText="1"/>
    </xf>
    <xf numFmtId="0" fontId="9" fillId="0" borderId="4" xfId="0" applyFont="1" applyFill="1" applyBorder="1" applyAlignment="1">
      <alignment horizontal="left" vertical="top" wrapText="1"/>
    </xf>
    <xf numFmtId="42" fontId="17" fillId="0" borderId="41" xfId="0" applyNumberFormat="1" applyFont="1" applyFill="1" applyBorder="1" applyAlignment="1">
      <alignment horizontal="center" vertical="center"/>
    </xf>
    <xf numFmtId="0" fontId="0" fillId="0" borderId="42" xfId="0" applyFont="1" applyFill="1" applyBorder="1" applyAlignment="1">
      <alignment horizontal="right"/>
    </xf>
    <xf numFmtId="167" fontId="20" fillId="0" borderId="49" xfId="0" applyNumberFormat="1" applyFont="1" applyBorder="1"/>
    <xf numFmtId="165" fontId="22" fillId="0" borderId="4" xfId="0" applyNumberFormat="1" applyFont="1" applyFill="1" applyBorder="1" applyAlignment="1">
      <alignment horizontal="center" vertical="center"/>
    </xf>
    <xf numFmtId="165" fontId="22" fillId="0" borderId="5" xfId="0" applyNumberFormat="1" applyFont="1" applyFill="1" applyBorder="1" applyAlignment="1">
      <alignment horizontal="center" vertical="center"/>
    </xf>
    <xf numFmtId="0" fontId="2" fillId="0" borderId="24" xfId="0" applyFont="1" applyFill="1" applyBorder="1" applyAlignment="1">
      <alignment horizontal="center"/>
    </xf>
    <xf numFmtId="0" fontId="0" fillId="0" borderId="48" xfId="0" applyFill="1" applyBorder="1"/>
    <xf numFmtId="6" fontId="2" fillId="0" borderId="48" xfId="0" applyNumberFormat="1" applyFont="1" applyBorder="1"/>
    <xf numFmtId="167" fontId="31" fillId="0" borderId="0" xfId="0" applyNumberFormat="1" applyFont="1"/>
    <xf numFmtId="0" fontId="46" fillId="0" borderId="0" xfId="0" applyFont="1"/>
    <xf numFmtId="167" fontId="22" fillId="17" borderId="25" xfId="0" applyNumberFormat="1" applyFont="1" applyFill="1" applyBorder="1" applyAlignment="1">
      <alignment vertical="center"/>
    </xf>
    <xf numFmtId="167" fontId="0" fillId="0" borderId="57" xfId="0" applyNumberFormat="1" applyFont="1" applyFill="1" applyBorder="1"/>
    <xf numFmtId="0" fontId="22" fillId="12" borderId="24" xfId="0" applyFont="1" applyFill="1" applyBorder="1" applyAlignment="1">
      <alignment vertical="center"/>
    </xf>
    <xf numFmtId="0" fontId="34" fillId="12" borderId="48" xfId="0" applyFont="1" applyFill="1" applyBorder="1"/>
    <xf numFmtId="0" fontId="22" fillId="12" borderId="49"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22" fillId="12" borderId="18" xfId="0" applyFont="1" applyFill="1" applyBorder="1" applyAlignment="1">
      <alignment horizontal="center" vertical="center" wrapText="1"/>
    </xf>
    <xf numFmtId="0" fontId="22" fillId="12" borderId="31" xfId="0" applyFont="1" applyFill="1" applyBorder="1" applyAlignment="1">
      <alignment horizontal="center" vertical="center" wrapText="1"/>
    </xf>
    <xf numFmtId="0" fontId="22" fillId="12" borderId="37" xfId="0" applyFont="1" applyFill="1" applyBorder="1" applyAlignment="1">
      <alignment horizontal="center" vertical="center" wrapText="1"/>
    </xf>
    <xf numFmtId="167" fontId="29" fillId="0" borderId="37" xfId="0" applyNumberFormat="1" applyFont="1" applyBorder="1"/>
    <xf numFmtId="167" fontId="17" fillId="0" borderId="48" xfId="0" applyNumberFormat="1" applyFont="1" applyBorder="1"/>
    <xf numFmtId="0" fontId="17" fillId="0" borderId="48" xfId="0" applyFont="1" applyBorder="1"/>
    <xf numFmtId="0" fontId="0" fillId="0" borderId="0" xfId="0" applyFont="1" applyBorder="1"/>
    <xf numFmtId="164" fontId="9" fillId="0" borderId="4" xfId="1" applyNumberFormat="1" applyFont="1" applyBorder="1" applyAlignment="1">
      <alignment horizontal="left" vertical="top" wrapText="1"/>
    </xf>
    <xf numFmtId="164" fontId="9" fillId="0" borderId="4" xfId="1" applyNumberFormat="1" applyFont="1" applyFill="1" applyBorder="1" applyAlignment="1">
      <alignment horizontal="left" vertical="top" wrapText="1"/>
    </xf>
    <xf numFmtId="0" fontId="4" fillId="0" borderId="4" xfId="0" applyFont="1" applyFill="1" applyBorder="1" applyAlignment="1">
      <alignment horizontal="center" vertical="center"/>
    </xf>
    <xf numFmtId="9" fontId="0" fillId="0" borderId="47" xfId="2" applyFont="1" applyFill="1" applyBorder="1" applyAlignment="1">
      <alignment horizontal="center" vertical="center"/>
    </xf>
    <xf numFmtId="0" fontId="17" fillId="0" borderId="47" xfId="0" applyFont="1" applyFill="1" applyBorder="1" applyAlignment="1">
      <alignment horizontal="center" vertical="center"/>
    </xf>
    <xf numFmtId="42" fontId="17" fillId="0" borderId="28" xfId="1" applyNumberFormat="1" applyFont="1" applyBorder="1" applyAlignment="1">
      <alignment horizontal="left" vertical="center"/>
    </xf>
    <xf numFmtId="42" fontId="17" fillId="0" borderId="47" xfId="0" applyNumberFormat="1" applyFont="1" applyBorder="1" applyAlignment="1">
      <alignment horizontal="center" vertical="center"/>
    </xf>
    <xf numFmtId="0" fontId="45" fillId="0" borderId="5" xfId="0" applyFont="1" applyBorder="1" applyAlignment="1">
      <alignment horizontal="left" vertical="top" wrapText="1"/>
    </xf>
    <xf numFmtId="42" fontId="17" fillId="0" borderId="47" xfId="1" applyNumberFormat="1" applyFont="1" applyBorder="1" applyAlignment="1">
      <alignment vertical="center"/>
    </xf>
    <xf numFmtId="0" fontId="29" fillId="0" borderId="41" xfId="0" applyFont="1" applyBorder="1" applyAlignment="1">
      <alignment horizontal="left" vertical="center"/>
    </xf>
    <xf numFmtId="0" fontId="0" fillId="0" borderId="24" xfId="0" applyFont="1" applyFill="1" applyBorder="1"/>
    <xf numFmtId="0" fontId="34" fillId="12" borderId="5" xfId="0" applyFont="1" applyFill="1" applyBorder="1" applyAlignment="1">
      <alignment horizontal="center" vertical="center" wrapText="1"/>
    </xf>
    <xf numFmtId="0" fontId="34" fillId="12" borderId="37" xfId="0" applyFont="1" applyFill="1" applyBorder="1" applyAlignment="1">
      <alignment horizontal="center" vertical="center" wrapText="1"/>
    </xf>
    <xf numFmtId="167" fontId="0" fillId="0" borderId="45" xfId="0" applyNumberFormat="1" applyBorder="1"/>
    <xf numFmtId="167" fontId="2" fillId="0" borderId="57" xfId="0" applyNumberFormat="1" applyFont="1" applyBorder="1"/>
    <xf numFmtId="0" fontId="34" fillId="4" borderId="42" xfId="0" applyFont="1" applyFill="1" applyBorder="1"/>
    <xf numFmtId="167" fontId="0" fillId="0" borderId="29" xfId="0" applyNumberFormat="1" applyFont="1" applyBorder="1"/>
    <xf numFmtId="167" fontId="0" fillId="0" borderId="29" xfId="0" applyNumberFormat="1" applyBorder="1"/>
    <xf numFmtId="0" fontId="34" fillId="12" borderId="24" xfId="0" applyFont="1" applyFill="1" applyBorder="1" applyAlignment="1">
      <alignment horizontal="center" vertical="center" wrapText="1"/>
    </xf>
    <xf numFmtId="0" fontId="0" fillId="0" borderId="24" xfId="0" applyFont="1" applyBorder="1"/>
    <xf numFmtId="0" fontId="0" fillId="4" borderId="37" xfId="0" applyFont="1" applyFill="1" applyBorder="1"/>
    <xf numFmtId="6" fontId="0" fillId="0" borderId="37" xfId="0" applyNumberFormat="1" applyFont="1" applyBorder="1"/>
    <xf numFmtId="0" fontId="0" fillId="0" borderId="37" xfId="0" applyFont="1" applyFill="1" applyBorder="1"/>
    <xf numFmtId="0" fontId="0" fillId="4" borderId="5" xfId="0" applyFont="1" applyFill="1" applyBorder="1"/>
    <xf numFmtId="6" fontId="0" fillId="0" borderId="5" xfId="0" applyNumberFormat="1" applyFont="1" applyBorder="1"/>
    <xf numFmtId="0" fontId="0" fillId="4" borderId="24" xfId="0" applyFont="1" applyFill="1" applyBorder="1"/>
    <xf numFmtId="6" fontId="0" fillId="0" borderId="24" xfId="0" applyNumberFormat="1" applyFont="1" applyBorder="1"/>
    <xf numFmtId="6" fontId="0" fillId="0" borderId="48" xfId="0" applyNumberFormat="1" applyFont="1" applyBorder="1"/>
    <xf numFmtId="0" fontId="0" fillId="0" borderId="42" xfId="0" applyBorder="1"/>
    <xf numFmtId="0" fontId="0" fillId="4" borderId="42" xfId="0" applyFill="1" applyBorder="1"/>
    <xf numFmtId="6" fontId="0" fillId="0" borderId="42" xfId="0" applyNumberFormat="1" applyBorder="1"/>
    <xf numFmtId="0" fontId="0" fillId="0" borderId="42" xfId="0" applyFill="1" applyBorder="1"/>
    <xf numFmtId="6" fontId="2" fillId="0" borderId="42" xfId="0" applyNumberFormat="1" applyFont="1" applyBorder="1"/>
    <xf numFmtId="167" fontId="20" fillId="0" borderId="42" xfId="0" applyNumberFormat="1" applyFont="1" applyBorder="1"/>
    <xf numFmtId="0" fontId="8" fillId="0" borderId="4" xfId="0" applyFont="1" applyFill="1" applyBorder="1" applyAlignment="1">
      <alignment horizontal="left" vertical="top" wrapText="1"/>
    </xf>
    <xf numFmtId="168" fontId="18" fillId="0" borderId="39" xfId="2" applyNumberFormat="1" applyFont="1" applyBorder="1" applyAlignment="1">
      <alignment horizontal="center"/>
    </xf>
    <xf numFmtId="167" fontId="2" fillId="0" borderId="42" xfId="0" applyNumberFormat="1" applyFont="1" applyFill="1" applyBorder="1"/>
    <xf numFmtId="167" fontId="20" fillId="0" borderId="24" xfId="0" applyNumberFormat="1" applyFont="1" applyFill="1" applyBorder="1"/>
    <xf numFmtId="167" fontId="2" fillId="0" borderId="37" xfId="0" applyNumberFormat="1" applyFont="1" applyFill="1" applyBorder="1"/>
    <xf numFmtId="167" fontId="35" fillId="0" borderId="31" xfId="0" applyNumberFormat="1" applyFont="1" applyFill="1" applyBorder="1"/>
    <xf numFmtId="167" fontId="2" fillId="0" borderId="57" xfId="0" applyNumberFormat="1" applyFont="1" applyFill="1" applyBorder="1"/>
    <xf numFmtId="0" fontId="0" fillId="0" borderId="48" xfId="0" applyFont="1" applyFill="1" applyBorder="1"/>
    <xf numFmtId="0" fontId="34" fillId="0" borderId="48" xfId="0" applyFont="1" applyFill="1" applyBorder="1"/>
    <xf numFmtId="0" fontId="0" fillId="0" borderId="48" xfId="0" applyFill="1" applyBorder="1" applyAlignment="1">
      <alignment horizontal="right"/>
    </xf>
    <xf numFmtId="0" fontId="0" fillId="0" borderId="49" xfId="0" applyFill="1" applyBorder="1" applyAlignment="1">
      <alignment horizontal="right"/>
    </xf>
    <xf numFmtId="0" fontId="0" fillId="0" borderId="48" xfId="0" applyFont="1" applyFill="1" applyBorder="1" applyAlignment="1">
      <alignment horizontal="right"/>
    </xf>
    <xf numFmtId="0" fontId="0" fillId="0" borderId="49" xfId="0" applyFont="1" applyFill="1" applyBorder="1" applyAlignment="1">
      <alignment horizontal="right"/>
    </xf>
    <xf numFmtId="0" fontId="2" fillId="0" borderId="37" xfId="0" applyFont="1" applyBorder="1"/>
    <xf numFmtId="0" fontId="0" fillId="16" borderId="49" xfId="0" applyFont="1" applyFill="1" applyBorder="1" applyAlignment="1">
      <alignment horizontal="right"/>
    </xf>
    <xf numFmtId="167" fontId="31" fillId="0" borderId="18" xfId="0" applyNumberFormat="1" applyFont="1" applyFill="1" applyBorder="1"/>
    <xf numFmtId="0" fontId="31" fillId="0" borderId="24" xfId="0" applyFont="1" applyBorder="1"/>
    <xf numFmtId="167" fontId="31" fillId="0" borderId="5" xfId="0" applyNumberFormat="1" applyFont="1" applyFill="1" applyBorder="1"/>
    <xf numFmtId="167" fontId="31" fillId="0" borderId="24" xfId="0" applyNumberFormat="1" applyFont="1" applyFill="1" applyBorder="1"/>
    <xf numFmtId="167" fontId="31" fillId="0" borderId="31" xfId="0" applyNumberFormat="1" applyFont="1" applyFill="1" applyBorder="1"/>
    <xf numFmtId="0" fontId="39" fillId="0" borderId="37" xfId="0" applyFont="1" applyBorder="1"/>
    <xf numFmtId="0" fontId="4" fillId="0" borderId="37" xfId="0" applyFont="1" applyBorder="1"/>
    <xf numFmtId="167" fontId="2" fillId="0" borderId="48" xfId="0" applyNumberFormat="1" applyFont="1" applyFill="1" applyBorder="1"/>
    <xf numFmtId="0" fontId="36" fillId="0" borderId="49" xfId="0" applyFont="1" applyBorder="1"/>
    <xf numFmtId="167" fontId="36" fillId="0" borderId="5" xfId="0" applyNumberFormat="1" applyFont="1" applyBorder="1"/>
    <xf numFmtId="167" fontId="36" fillId="0" borderId="24" xfId="0" applyNumberFormat="1" applyFont="1" applyBorder="1"/>
    <xf numFmtId="167" fontId="36" fillId="0" borderId="18" xfId="0" applyNumberFormat="1" applyFont="1" applyBorder="1"/>
    <xf numFmtId="167" fontId="36" fillId="0" borderId="31" xfId="0" applyNumberFormat="1" applyFont="1" applyBorder="1"/>
    <xf numFmtId="167" fontId="36" fillId="0" borderId="37" xfId="0" applyNumberFormat="1" applyFont="1" applyBorder="1"/>
    <xf numFmtId="167" fontId="37" fillId="0" borderId="31" xfId="0" applyNumberFormat="1" applyFont="1" applyBorder="1"/>
    <xf numFmtId="167" fontId="37" fillId="0" borderId="31" xfId="0" applyNumberFormat="1" applyFont="1" applyBorder="1" applyAlignment="1">
      <alignment horizontal="center"/>
    </xf>
    <xf numFmtId="0" fontId="38" fillId="0" borderId="48" xfId="0" applyFont="1" applyBorder="1"/>
    <xf numFmtId="0" fontId="41" fillId="0" borderId="49" xfId="0" applyFont="1" applyBorder="1"/>
    <xf numFmtId="0" fontId="38" fillId="0" borderId="37" xfId="0" applyFont="1" applyBorder="1"/>
    <xf numFmtId="0" fontId="40" fillId="0" borderId="37" xfId="0" applyFont="1" applyBorder="1"/>
    <xf numFmtId="0" fontId="29" fillId="0" borderId="48" xfId="0" applyFont="1" applyBorder="1"/>
    <xf numFmtId="0" fontId="2" fillId="0" borderId="48" xfId="0" applyFont="1" applyBorder="1" applyAlignment="1">
      <alignment horizontal="right"/>
    </xf>
    <xf numFmtId="0" fontId="2" fillId="0" borderId="18" xfId="0" applyFont="1" applyBorder="1" applyAlignment="1">
      <alignment horizontal="right"/>
    </xf>
    <xf numFmtId="0" fontId="17" fillId="0" borderId="37" xfId="0" applyFont="1" applyFill="1" applyBorder="1"/>
    <xf numFmtId="0" fontId="2" fillId="0" borderId="48" xfId="0" applyFont="1" applyFill="1" applyBorder="1" applyAlignment="1">
      <alignment horizontal="right"/>
    </xf>
    <xf numFmtId="0" fontId="2" fillId="0" borderId="18" xfId="0" applyFont="1" applyFill="1" applyBorder="1" applyAlignment="1">
      <alignment horizontal="right"/>
    </xf>
    <xf numFmtId="0" fontId="0" fillId="0" borderId="31" xfId="0" applyFont="1" applyBorder="1"/>
    <xf numFmtId="0" fontId="0" fillId="0" borderId="18" xfId="0" applyFont="1" applyFill="1" applyBorder="1"/>
    <xf numFmtId="0" fontId="0" fillId="0" borderId="18" xfId="0" applyFont="1" applyFill="1" applyBorder="1" applyAlignment="1">
      <alignment horizontal="right"/>
    </xf>
    <xf numFmtId="167" fontId="20" fillId="0" borderId="42" xfId="0" applyNumberFormat="1" applyFont="1" applyFill="1" applyBorder="1"/>
    <xf numFmtId="167" fontId="31" fillId="0" borderId="42" xfId="0" applyNumberFormat="1" applyFont="1" applyBorder="1"/>
    <xf numFmtId="0" fontId="0" fillId="0" borderId="61" xfId="0" applyBorder="1"/>
    <xf numFmtId="0" fontId="0" fillId="0" borderId="62" xfId="0" applyBorder="1"/>
    <xf numFmtId="0" fontId="0" fillId="0" borderId="63" xfId="0" applyBorder="1"/>
    <xf numFmtId="42" fontId="5" fillId="0" borderId="31" xfId="0" applyNumberFormat="1" applyFont="1" applyFill="1" applyBorder="1" applyAlignment="1" applyProtection="1">
      <alignment horizontal="center" vertical="center" wrapText="1"/>
      <protection locked="0"/>
    </xf>
    <xf numFmtId="42" fontId="5" fillId="0" borderId="34" xfId="0" applyNumberFormat="1" applyFont="1" applyFill="1" applyBorder="1" applyAlignment="1" applyProtection="1">
      <alignment horizontal="center" vertical="center" wrapText="1"/>
      <protection locked="0"/>
    </xf>
    <xf numFmtId="42" fontId="5" fillId="0" borderId="34" xfId="0" applyNumberFormat="1" applyFont="1" applyBorder="1" applyAlignment="1" applyProtection="1">
      <alignment horizontal="center" vertical="center" wrapText="1"/>
      <protection locked="0"/>
    </xf>
    <xf numFmtId="42" fontId="5" fillId="0" borderId="31" xfId="0" applyNumberFormat="1" applyFont="1" applyBorder="1" applyAlignment="1" applyProtection="1">
      <alignment horizontal="center" vertical="center" wrapText="1"/>
      <protection locked="0"/>
    </xf>
    <xf numFmtId="0" fontId="22" fillId="4" borderId="49"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1"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9" fillId="0" borderId="4" xfId="1" applyNumberFormat="1" applyFont="1" applyFill="1" applyBorder="1" applyAlignment="1">
      <alignment horizontal="left" vertical="top" wrapText="1"/>
    </xf>
    <xf numFmtId="0" fontId="2" fillId="0" borderId="0" xfId="0" applyFont="1" applyAlignment="1">
      <alignment horizontal="right" vertical="top"/>
    </xf>
    <xf numFmtId="0" fontId="0" fillId="0" borderId="0" xfId="0" applyAlignment="1">
      <alignment horizontal="right" vertical="top"/>
    </xf>
    <xf numFmtId="42" fontId="17" fillId="0" borderId="24" xfId="0" applyNumberFormat="1" applyFont="1" applyFill="1" applyBorder="1" applyAlignment="1">
      <alignment horizontal="center" vertical="center"/>
    </xf>
    <xf numFmtId="42" fontId="29" fillId="0" borderId="47" xfId="0" applyNumberFormat="1" applyFont="1" applyFill="1" applyBorder="1" applyAlignment="1">
      <alignment horizontal="center" vertical="center"/>
    </xf>
    <xf numFmtId="42" fontId="17" fillId="0" borderId="47" xfId="1" applyNumberFormat="1" applyFont="1" applyBorder="1" applyAlignment="1">
      <alignment horizontal="left" vertical="center"/>
    </xf>
    <xf numFmtId="166" fontId="22" fillId="0" borderId="34" xfId="0" applyNumberFormat="1" applyFont="1" applyFill="1" applyBorder="1" applyAlignment="1">
      <alignment horizontal="center" vertical="center"/>
    </xf>
    <xf numFmtId="0" fontId="17" fillId="0" borderId="37" xfId="0" applyFont="1" applyFill="1" applyBorder="1" applyAlignment="1">
      <alignment horizontal="left" vertical="center"/>
    </xf>
    <xf numFmtId="0" fontId="7" fillId="0" borderId="5" xfId="3" applyFont="1" applyFill="1" applyBorder="1" applyAlignment="1">
      <alignment vertical="top" wrapText="1"/>
    </xf>
    <xf numFmtId="0" fontId="5" fillId="0" borderId="4" xfId="0" applyFont="1" applyFill="1" applyBorder="1" applyAlignment="1">
      <alignment horizontal="left" vertical="center" wrapText="1"/>
    </xf>
    <xf numFmtId="164" fontId="29" fillId="0" borderId="4" xfId="4" applyNumberFormat="1" applyFont="1" applyBorder="1" applyAlignment="1">
      <alignment horizontal="left" vertical="center"/>
    </xf>
    <xf numFmtId="42" fontId="17" fillId="0" borderId="24" xfId="1" applyNumberFormat="1" applyFont="1" applyBorder="1" applyAlignment="1">
      <alignment vertical="center"/>
    </xf>
    <xf numFmtId="164" fontId="8" fillId="0" borderId="5" xfId="1" applyNumberFormat="1" applyFont="1" applyBorder="1" applyAlignment="1">
      <alignment horizontal="left" vertical="top" wrapText="1"/>
    </xf>
    <xf numFmtId="42" fontId="17" fillId="0" borderId="24" xfId="1" applyNumberFormat="1" applyFont="1" applyFill="1" applyBorder="1" applyAlignment="1">
      <alignment horizontal="left" vertical="center"/>
    </xf>
    <xf numFmtId="42" fontId="30" fillId="0" borderId="41" xfId="0" applyNumberFormat="1" applyFont="1" applyBorder="1" applyAlignment="1">
      <alignment horizontal="left" vertical="center"/>
    </xf>
    <xf numFmtId="0" fontId="7" fillId="0" borderId="5" xfId="5" applyFont="1" applyFill="1" applyBorder="1" applyAlignment="1">
      <alignment horizontal="left" vertical="center" wrapText="1"/>
    </xf>
    <xf numFmtId="42" fontId="17" fillId="0" borderId="45" xfId="1" applyNumberFormat="1" applyFont="1" applyFill="1" applyBorder="1" applyAlignment="1">
      <alignment horizontal="left" vertical="center"/>
    </xf>
    <xf numFmtId="42" fontId="17" fillId="0" borderId="48" xfId="1" applyNumberFormat="1" applyFont="1" applyFill="1" applyBorder="1" applyAlignment="1">
      <alignment horizontal="left" vertical="center"/>
    </xf>
    <xf numFmtId="42" fontId="17" fillId="0" borderId="45" xfId="1" applyNumberFormat="1" applyFont="1" applyBorder="1" applyAlignment="1">
      <alignment horizontal="left" vertical="center"/>
    </xf>
    <xf numFmtId="42" fontId="17" fillId="0" borderId="45" xfId="1" applyNumberFormat="1" applyFont="1" applyFill="1" applyBorder="1" applyAlignment="1">
      <alignment horizontal="left" vertical="center" wrapText="1"/>
    </xf>
    <xf numFmtId="42" fontId="17" fillId="0" borderId="48" xfId="1" applyNumberFormat="1" applyFont="1" applyBorder="1" applyAlignment="1">
      <alignment horizontal="left" vertical="center"/>
    </xf>
    <xf numFmtId="42" fontId="29" fillId="0" borderId="48" xfId="1" applyNumberFormat="1" applyFont="1" applyBorder="1" applyAlignment="1">
      <alignment horizontal="left" vertical="center"/>
    </xf>
    <xf numFmtId="42" fontId="29" fillId="0" borderId="45" xfId="1" applyNumberFormat="1" applyFont="1" applyBorder="1" applyAlignment="1">
      <alignment horizontal="left" vertical="center"/>
    </xf>
    <xf numFmtId="42" fontId="17" fillId="0" borderId="48" xfId="1" applyNumberFormat="1" applyFont="1" applyBorder="1" applyAlignment="1">
      <alignment vertical="center"/>
    </xf>
    <xf numFmtId="42" fontId="17" fillId="0" borderId="47" xfId="1" applyNumberFormat="1" applyFont="1" applyFill="1" applyBorder="1" applyAlignment="1">
      <alignment horizontal="left" vertical="center"/>
    </xf>
    <xf numFmtId="42" fontId="29" fillId="0" borderId="48" xfId="1" applyNumberFormat="1" applyFont="1" applyFill="1" applyBorder="1" applyAlignment="1">
      <alignment horizontal="left" vertical="center"/>
    </xf>
    <xf numFmtId="42" fontId="17" fillId="0" borderId="48" xfId="1" applyNumberFormat="1" applyFont="1" applyFill="1" applyBorder="1" applyAlignment="1">
      <alignment horizontal="left" vertical="center" wrapText="1"/>
    </xf>
    <xf numFmtId="42" fontId="17" fillId="0" borderId="24" xfId="1" applyNumberFormat="1" applyFont="1" applyBorder="1" applyAlignment="1">
      <alignment horizontal="left" vertical="center"/>
    </xf>
    <xf numFmtId="42" fontId="29" fillId="0" borderId="45" xfId="1" applyNumberFormat="1" applyFont="1" applyFill="1" applyBorder="1" applyAlignment="1">
      <alignment horizontal="left" vertical="center"/>
    </xf>
    <xf numFmtId="42" fontId="8" fillId="0" borderId="45" xfId="0" applyNumberFormat="1" applyFont="1" applyBorder="1" applyAlignment="1" applyProtection="1">
      <alignment horizontal="center" vertical="center" wrapText="1"/>
      <protection locked="0"/>
    </xf>
    <xf numFmtId="164" fontId="29" fillId="0" borderId="48" xfId="4" applyNumberFormat="1" applyFont="1" applyFill="1" applyBorder="1" applyAlignment="1">
      <alignment horizontal="left" vertical="center"/>
    </xf>
    <xf numFmtId="164" fontId="8" fillId="0" borderId="5" xfId="4" applyNumberFormat="1" applyFont="1" applyFill="1" applyBorder="1" applyAlignment="1">
      <alignment horizontal="left" vertical="center" wrapText="1"/>
    </xf>
    <xf numFmtId="42" fontId="17" fillId="0" borderId="48" xfId="0" applyNumberFormat="1" applyFont="1" applyFill="1" applyBorder="1" applyAlignment="1">
      <alignment horizontal="center" vertical="center"/>
    </xf>
    <xf numFmtId="0" fontId="20" fillId="0" borderId="37" xfId="0" applyFont="1" applyFill="1" applyBorder="1"/>
    <xf numFmtId="0" fontId="20" fillId="0" borderId="24" xfId="0" applyFont="1" applyFill="1" applyBorder="1"/>
    <xf numFmtId="5" fontId="17" fillId="0" borderId="5" xfId="0" applyNumberFormat="1" applyFont="1" applyFill="1" applyBorder="1" applyAlignment="1">
      <alignment horizontal="right" vertical="center"/>
    </xf>
    <xf numFmtId="167" fontId="35" fillId="0" borderId="5" xfId="0" applyNumberFormat="1" applyFont="1" applyBorder="1"/>
    <xf numFmtId="167" fontId="35" fillId="0" borderId="42" xfId="0" applyNumberFormat="1" applyFont="1" applyBorder="1"/>
    <xf numFmtId="167" fontId="0" fillId="0" borderId="64" xfId="0" applyNumberFormat="1" applyBorder="1"/>
    <xf numFmtId="167" fontId="0" fillId="0" borderId="62" xfId="0" applyNumberFormat="1" applyBorder="1"/>
    <xf numFmtId="167" fontId="0" fillId="0" borderId="63" xfId="0" applyNumberFormat="1" applyBorder="1"/>
    <xf numFmtId="167" fontId="22" fillId="17" borderId="36" xfId="0" applyNumberFormat="1" applyFont="1" applyFill="1" applyBorder="1" applyAlignment="1">
      <alignment vertical="center"/>
    </xf>
    <xf numFmtId="0" fontId="0" fillId="0" borderId="4" xfId="0" applyFill="1" applyBorder="1" applyAlignment="1">
      <alignment horizontal="center" vertical="center"/>
    </xf>
    <xf numFmtId="0" fontId="22" fillId="0" borderId="48" xfId="0" applyFont="1" applyBorder="1" applyAlignment="1">
      <alignment horizontal="right"/>
    </xf>
    <xf numFmtId="0" fontId="22" fillId="0" borderId="51" xfId="0" applyFont="1" applyBorder="1" applyAlignment="1">
      <alignment horizontal="right"/>
    </xf>
    <xf numFmtId="0" fontId="22" fillId="0" borderId="53" xfId="0" applyFont="1" applyBorder="1" applyAlignment="1">
      <alignment horizontal="right"/>
    </xf>
    <xf numFmtId="167" fontId="2" fillId="0" borderId="53" xfId="0" applyNumberFormat="1" applyFont="1" applyBorder="1"/>
    <xf numFmtId="167" fontId="2" fillId="0" borderId="52" xfId="0" applyNumberFormat="1" applyFont="1" applyBorder="1"/>
    <xf numFmtId="167" fontId="2" fillId="0" borderId="58" xfId="0" applyNumberFormat="1" applyFont="1" applyBorder="1"/>
    <xf numFmtId="167" fontId="2" fillId="0" borderId="40" xfId="0" applyNumberFormat="1" applyFont="1" applyBorder="1"/>
    <xf numFmtId="167" fontId="22" fillId="0" borderId="54" xfId="0" applyNumberFormat="1" applyFont="1" applyBorder="1" applyAlignment="1">
      <alignment horizontal="center"/>
    </xf>
    <xf numFmtId="167" fontId="17" fillId="0" borderId="40" xfId="0" applyNumberFormat="1" applyFont="1" applyBorder="1"/>
    <xf numFmtId="0" fontId="34" fillId="0" borderId="0" xfId="0" applyFont="1" applyAlignment="1">
      <alignment vertical="top"/>
    </xf>
    <xf numFmtId="0" fontId="18" fillId="7" borderId="3" xfId="0" applyFont="1" applyFill="1" applyBorder="1" applyAlignment="1">
      <alignment horizontal="center" vertical="center" wrapText="1"/>
    </xf>
    <xf numFmtId="42" fontId="29" fillId="0" borderId="4" xfId="0" applyNumberFormat="1" applyFont="1" applyFill="1" applyBorder="1" applyAlignment="1">
      <alignment horizontal="left" vertical="center"/>
    </xf>
    <xf numFmtId="0" fontId="2" fillId="2" borderId="21" xfId="0" applyFont="1" applyFill="1" applyBorder="1" applyAlignment="1">
      <alignment horizontal="center"/>
    </xf>
    <xf numFmtId="0" fontId="0" fillId="2" borderId="1" xfId="0" applyFill="1" applyBorder="1"/>
    <xf numFmtId="0" fontId="0" fillId="0" borderId="1" xfId="0" applyBorder="1"/>
    <xf numFmtId="0" fontId="0" fillId="7" borderId="25" xfId="0" applyFill="1" applyBorder="1" applyAlignment="1">
      <alignment horizontal="center" vertical="center" wrapText="1"/>
    </xf>
    <xf numFmtId="0" fontId="18" fillId="8" borderId="30"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8" fillId="0" borderId="5" xfId="3" applyFont="1" applyBorder="1" applyAlignment="1">
      <alignment horizontal="left" vertical="center" wrapText="1"/>
    </xf>
    <xf numFmtId="0" fontId="9" fillId="0" borderId="5" xfId="3" applyFont="1" applyFill="1" applyBorder="1" applyAlignment="1">
      <alignment horizontal="left" vertical="center" wrapText="1"/>
    </xf>
    <xf numFmtId="165" fontId="5" fillId="0" borderId="4"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9" fontId="5" fillId="0" borderId="34" xfId="2" applyFont="1" applyFill="1" applyBorder="1" applyAlignment="1">
      <alignment horizontal="center" vertical="center"/>
    </xf>
    <xf numFmtId="2" fontId="5" fillId="0" borderId="4" xfId="0" applyNumberFormat="1" applyFont="1" applyFill="1" applyBorder="1" applyAlignment="1">
      <alignment horizontal="center" vertical="center"/>
    </xf>
    <xf numFmtId="2" fontId="5" fillId="0" borderId="29" xfId="0" applyNumberFormat="1" applyFont="1" applyFill="1" applyBorder="1" applyAlignment="1">
      <alignment horizontal="center" vertical="center"/>
    </xf>
    <xf numFmtId="2" fontId="5" fillId="0" borderId="34" xfId="0" applyNumberFormat="1" applyFont="1" applyFill="1" applyBorder="1" applyAlignment="1">
      <alignment horizontal="center" vertical="center"/>
    </xf>
    <xf numFmtId="2" fontId="22" fillId="0" borderId="55" xfId="0" applyNumberFormat="1" applyFont="1" applyFill="1" applyBorder="1" applyAlignment="1">
      <alignment horizontal="center" vertical="center"/>
    </xf>
    <xf numFmtId="42" fontId="29" fillId="0" borderId="28" xfId="0" applyNumberFormat="1" applyFont="1" applyFill="1" applyBorder="1" applyAlignment="1">
      <alignment horizontal="left" vertical="center"/>
    </xf>
    <xf numFmtId="0" fontId="0" fillId="0" borderId="18" xfId="1" applyNumberFormat="1" applyFont="1" applyFill="1" applyBorder="1" applyAlignment="1">
      <alignment horizontal="center" vertical="center" wrapText="1"/>
    </xf>
    <xf numFmtId="9" fontId="5" fillId="0" borderId="31" xfId="2" applyFont="1" applyFill="1" applyBorder="1" applyAlignment="1">
      <alignment horizontal="center" vertical="center"/>
    </xf>
    <xf numFmtId="2" fontId="22" fillId="0" borderId="49" xfId="0" applyNumberFormat="1" applyFont="1" applyFill="1" applyBorder="1" applyAlignment="1">
      <alignment horizontal="center" vertical="center"/>
    </xf>
    <xf numFmtId="42" fontId="5" fillId="0" borderId="42" xfId="1" applyNumberFormat="1" applyFont="1" applyFill="1" applyBorder="1" applyAlignment="1">
      <alignment horizontal="center" vertical="center" wrapText="1"/>
    </xf>
    <xf numFmtId="42" fontId="29" fillId="0" borderId="28" xfId="0" applyNumberFormat="1" applyFont="1" applyFill="1" applyBorder="1" applyAlignment="1">
      <alignment horizontal="center" vertical="center"/>
    </xf>
    <xf numFmtId="42" fontId="29" fillId="0" borderId="4" xfId="0" applyNumberFormat="1" applyFont="1" applyFill="1" applyBorder="1" applyAlignment="1">
      <alignment horizontal="center" vertical="center"/>
    </xf>
    <xf numFmtId="42" fontId="17" fillId="0" borderId="34" xfId="0" applyNumberFormat="1" applyFont="1" applyBorder="1" applyAlignment="1" applyProtection="1">
      <alignment horizontal="center" vertical="center" wrapText="1"/>
      <protection locked="0"/>
    </xf>
    <xf numFmtId="42" fontId="17" fillId="0" borderId="45" xfId="0" applyNumberFormat="1" applyFont="1" applyFill="1" applyBorder="1" applyAlignment="1" applyProtection="1">
      <alignment horizontal="center" vertical="center" wrapText="1"/>
      <protection locked="0"/>
    </xf>
    <xf numFmtId="42" fontId="17" fillId="0" borderId="45" xfId="0" applyNumberFormat="1" applyFont="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0" fontId="11" fillId="0" borderId="5" xfId="0" applyFont="1" applyFill="1" applyBorder="1" applyAlignment="1">
      <alignment horizontal="left" vertical="top" wrapText="1"/>
    </xf>
    <xf numFmtId="42" fontId="17" fillId="0" borderId="42" xfId="0" applyNumberFormat="1" applyFont="1" applyFill="1" applyBorder="1" applyAlignment="1">
      <alignment horizontal="center" vertical="center"/>
    </xf>
    <xf numFmtId="42" fontId="17" fillId="0" borderId="37" xfId="0" applyNumberFormat="1"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42" xfId="0" applyFont="1" applyFill="1" applyBorder="1" applyAlignment="1">
      <alignment horizontal="center" vertical="center" wrapText="1"/>
    </xf>
    <xf numFmtId="42" fontId="17" fillId="0" borderId="34" xfId="0" applyNumberFormat="1" applyFont="1" applyFill="1" applyBorder="1" applyAlignment="1" applyProtection="1">
      <alignment horizontal="center" vertical="center" wrapText="1"/>
      <protection locked="0"/>
    </xf>
    <xf numFmtId="42" fontId="17" fillId="0" borderId="41" xfId="0" applyNumberFormat="1" applyFont="1" applyFill="1" applyBorder="1" applyAlignment="1">
      <alignment horizontal="left" vertical="center"/>
    </xf>
    <xf numFmtId="42" fontId="17" fillId="0" borderId="65" xfId="0" applyNumberFormat="1" applyFont="1" applyFill="1" applyBorder="1" applyAlignment="1">
      <alignment horizontal="left" vertical="center"/>
    </xf>
    <xf numFmtId="0" fontId="7" fillId="0" borderId="4" xfId="3"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3" applyFont="1" applyBorder="1" applyAlignment="1">
      <alignment horizontal="left" vertical="top" wrapText="1"/>
    </xf>
    <xf numFmtId="0" fontId="8" fillId="0" borderId="4" xfId="3" applyFont="1" applyFill="1" applyBorder="1" applyAlignment="1">
      <alignment horizontal="left" vertical="top" wrapText="1"/>
    </xf>
    <xf numFmtId="164" fontId="29" fillId="0" borderId="5" xfId="4" applyNumberFormat="1" applyFont="1" applyBorder="1" applyAlignment="1">
      <alignment horizontal="left" vertical="center"/>
    </xf>
    <xf numFmtId="42" fontId="17" fillId="0" borderId="5" xfId="1" applyNumberFormat="1" applyFont="1" applyFill="1" applyBorder="1" applyAlignment="1">
      <alignment horizontal="left" vertical="center"/>
    </xf>
    <xf numFmtId="42" fontId="29" fillId="0" borderId="48" xfId="1" applyNumberFormat="1" applyFont="1" applyFill="1" applyBorder="1" applyAlignment="1">
      <alignment horizontal="right" vertical="center"/>
    </xf>
    <xf numFmtId="42" fontId="17" fillId="0" borderId="45" xfId="0" applyNumberFormat="1" applyFont="1" applyFill="1" applyBorder="1" applyAlignment="1">
      <alignment horizontal="center" vertical="center"/>
    </xf>
    <xf numFmtId="42" fontId="17" fillId="0" borderId="5" xfId="1" applyNumberFormat="1" applyFont="1" applyBorder="1" applyAlignment="1">
      <alignment horizontal="left" vertical="center"/>
    </xf>
    <xf numFmtId="42" fontId="29" fillId="0" borderId="48" xfId="0" applyNumberFormat="1" applyFont="1" applyBorder="1" applyAlignment="1">
      <alignment horizontal="left" vertical="center"/>
    </xf>
    <xf numFmtId="42" fontId="29" fillId="0" borderId="24" xfId="1" applyNumberFormat="1" applyFont="1" applyFill="1" applyBorder="1" applyAlignment="1">
      <alignment horizontal="left" vertical="center"/>
    </xf>
    <xf numFmtId="42" fontId="17" fillId="0" borderId="31" xfId="0" applyNumberFormat="1" applyFont="1" applyBorder="1" applyAlignment="1" applyProtection="1">
      <alignment horizontal="center" vertical="center" wrapText="1"/>
      <protection locked="0"/>
    </xf>
    <xf numFmtId="42" fontId="17" fillId="0" borderId="34" xfId="1" applyNumberFormat="1" applyFont="1" applyFill="1" applyBorder="1" applyAlignment="1" applyProtection="1">
      <alignment horizontal="center" vertical="center" wrapText="1"/>
      <protection locked="0"/>
    </xf>
    <xf numFmtId="42" fontId="29" fillId="0" borderId="31" xfId="0" applyNumberFormat="1" applyFont="1" applyBorder="1" applyAlignment="1" applyProtection="1">
      <alignment horizontal="center" vertical="center" wrapText="1"/>
      <protection locked="0"/>
    </xf>
    <xf numFmtId="42" fontId="17" fillId="0" borderId="37" xfId="0" applyNumberFormat="1" applyFont="1" applyBorder="1" applyAlignment="1">
      <alignment horizontal="center" vertical="center"/>
    </xf>
    <xf numFmtId="42" fontId="17" fillId="0" borderId="18" xfId="1" applyNumberFormat="1" applyFont="1" applyBorder="1" applyAlignment="1">
      <alignment vertical="center"/>
    </xf>
    <xf numFmtId="42" fontId="17" fillId="0" borderId="5" xfId="0" applyNumberFormat="1" applyFont="1" applyBorder="1" applyAlignment="1">
      <alignment horizontal="center" vertical="center"/>
    </xf>
    <xf numFmtId="42" fontId="17" fillId="0" borderId="5" xfId="1" applyNumberFormat="1" applyFont="1" applyBorder="1" applyAlignment="1">
      <alignment vertical="center"/>
    </xf>
    <xf numFmtId="0" fontId="0" fillId="0" borderId="4" xfId="0" applyBorder="1"/>
    <xf numFmtId="42" fontId="17" fillId="0" borderId="0" xfId="0" applyNumberFormat="1" applyFont="1" applyFill="1" applyBorder="1" applyAlignment="1">
      <alignment horizontal="left" vertical="center"/>
    </xf>
    <xf numFmtId="0" fontId="3" fillId="3" borderId="66" xfId="0" applyFont="1" applyFill="1" applyBorder="1" applyAlignment="1">
      <alignment horizontal="center" vertical="center" wrapText="1"/>
    </xf>
    <xf numFmtId="0" fontId="3" fillId="0" borderId="67" xfId="0" applyFont="1" applyFill="1" applyBorder="1"/>
    <xf numFmtId="0" fontId="3" fillId="0" borderId="2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26" fillId="0" borderId="27" xfId="0" applyFont="1" applyFill="1" applyBorder="1" applyAlignment="1">
      <alignment horizontal="center" vertical="center" wrapText="1"/>
    </xf>
    <xf numFmtId="42" fontId="26" fillId="0" borderId="70" xfId="0" applyNumberFormat="1" applyFont="1" applyFill="1" applyBorder="1" applyAlignment="1">
      <alignment horizontal="center" vertical="center" wrapText="1"/>
    </xf>
    <xf numFmtId="167" fontId="3" fillId="0" borderId="17" xfId="0" applyNumberFormat="1" applyFont="1" applyFill="1" applyBorder="1" applyAlignment="1">
      <alignment horizontal="center"/>
    </xf>
    <xf numFmtId="42" fontId="3" fillId="0" borderId="26" xfId="0" applyNumberFormat="1" applyFont="1" applyFill="1" applyBorder="1" applyAlignment="1">
      <alignment horizontal="center"/>
    </xf>
    <xf numFmtId="42" fontId="3" fillId="0" borderId="23" xfId="0" applyNumberFormat="1" applyFont="1" applyFill="1" applyBorder="1" applyAlignment="1">
      <alignment horizontal="center"/>
    </xf>
    <xf numFmtId="0" fontId="3" fillId="0" borderId="17" xfId="0" applyNumberFormat="1" applyFont="1" applyFill="1" applyBorder="1" applyAlignment="1">
      <alignment horizontal="center" vertical="center"/>
    </xf>
    <xf numFmtId="42" fontId="3" fillId="0" borderId="26" xfId="0" applyNumberFormat="1" applyFont="1" applyFill="1" applyBorder="1" applyAlignment="1">
      <alignment horizontal="center" vertical="center"/>
    </xf>
    <xf numFmtId="42" fontId="3" fillId="0" borderId="23" xfId="0" applyNumberFormat="1" applyFont="1" applyFill="1" applyBorder="1" applyAlignment="1">
      <alignment horizontal="center" vertical="center"/>
    </xf>
    <xf numFmtId="0" fontId="0" fillId="0" borderId="68" xfId="0" applyFill="1" applyBorder="1" applyAlignment="1">
      <alignment horizontal="center" vertical="center"/>
    </xf>
    <xf numFmtId="0" fontId="5" fillId="0" borderId="52"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48" xfId="0" applyFont="1" applyBorder="1" applyAlignment="1">
      <alignment horizontal="left" vertical="center" wrapText="1"/>
    </xf>
    <xf numFmtId="0" fontId="10" fillId="0" borderId="4" xfId="0" applyFont="1" applyBorder="1" applyAlignment="1">
      <alignment horizontal="left" vertical="center" wrapText="1"/>
    </xf>
    <xf numFmtId="165" fontId="7" fillId="0" borderId="4" xfId="0" applyNumberFormat="1" applyFont="1" applyFill="1" applyBorder="1" applyAlignment="1">
      <alignment horizontal="left" vertical="center" wrapText="1"/>
    </xf>
    <xf numFmtId="0" fontId="10" fillId="0" borderId="52" xfId="0" applyFont="1" applyFill="1" applyBorder="1" applyAlignment="1">
      <alignment horizontal="left" vertical="center" wrapText="1"/>
    </xf>
    <xf numFmtId="165" fontId="8" fillId="0" borderId="4" xfId="0" applyNumberFormat="1" applyFont="1" applyFill="1" applyBorder="1" applyAlignment="1">
      <alignment horizontal="left" vertical="top" wrapText="1"/>
    </xf>
    <xf numFmtId="0" fontId="9" fillId="0" borderId="4" xfId="1" applyNumberFormat="1" applyFont="1" applyBorder="1" applyAlignment="1">
      <alignment horizontal="left" vertical="top" wrapText="1"/>
    </xf>
    <xf numFmtId="164" fontId="9" fillId="0" borderId="4" xfId="4" applyNumberFormat="1" applyFont="1" applyFill="1" applyBorder="1" applyAlignment="1">
      <alignment horizontal="left" vertical="top" wrapText="1"/>
    </xf>
    <xf numFmtId="0" fontId="5" fillId="0" borderId="47" xfId="0" applyFont="1" applyFill="1" applyBorder="1" applyAlignment="1">
      <alignment horizontal="left" vertical="top" wrapText="1"/>
    </xf>
    <xf numFmtId="0" fontId="11" fillId="0" borderId="24" xfId="0" applyFont="1" applyFill="1" applyBorder="1" applyAlignment="1">
      <alignment horizontal="left" vertical="top" wrapText="1"/>
    </xf>
    <xf numFmtId="165" fontId="5" fillId="0" borderId="4" xfId="0" applyNumberFormat="1" applyFont="1" applyFill="1" applyBorder="1" applyAlignment="1">
      <alignment horizontal="left" vertical="top" wrapText="1"/>
    </xf>
    <xf numFmtId="0" fontId="5" fillId="0" borderId="24" xfId="0" applyFont="1" applyBorder="1" applyAlignment="1">
      <alignment horizontal="center" vertical="center" wrapText="1"/>
    </xf>
    <xf numFmtId="42" fontId="0" fillId="0" borderId="0" xfId="0" applyNumberFormat="1" applyFont="1" applyAlignment="1">
      <alignment horizontal="left"/>
    </xf>
    <xf numFmtId="42" fontId="2" fillId="0" borderId="0" xfId="0" applyNumberFormat="1" applyFont="1" applyAlignment="1">
      <alignment horizontal="left"/>
    </xf>
    <xf numFmtId="0" fontId="27" fillId="14" borderId="19" xfId="0" applyFont="1" applyFill="1" applyBorder="1" applyAlignment="1">
      <alignment horizontal="center" vertical="center" wrapText="1"/>
    </xf>
    <xf numFmtId="0" fontId="28" fillId="14" borderId="36" xfId="0" applyFont="1" applyFill="1" applyBorder="1" applyAlignment="1">
      <alignment horizontal="center" vertical="center" wrapText="1"/>
    </xf>
    <xf numFmtId="0" fontId="28" fillId="14" borderId="30" xfId="0" applyFont="1" applyFill="1" applyBorder="1" applyAlignment="1">
      <alignment horizontal="center" vertical="center" wrapText="1"/>
    </xf>
    <xf numFmtId="0" fontId="18" fillId="2" borderId="19" xfId="0" applyFont="1" applyFill="1" applyBorder="1" applyAlignment="1">
      <alignment horizontal="center"/>
    </xf>
    <xf numFmtId="0" fontId="2" fillId="2" borderId="36" xfId="0" applyFont="1" applyFill="1" applyBorder="1" applyAlignment="1">
      <alignment horizontal="center"/>
    </xf>
    <xf numFmtId="0" fontId="2" fillId="2" borderId="38" xfId="0" applyFont="1" applyFill="1" applyBorder="1" applyAlignment="1">
      <alignment horizontal="center"/>
    </xf>
    <xf numFmtId="0" fontId="18" fillId="4" borderId="19" xfId="0" applyFont="1" applyFill="1" applyBorder="1" applyAlignment="1">
      <alignment horizontal="center" vertical="center" wrapText="1"/>
    </xf>
    <xf numFmtId="0" fontId="0" fillId="4" borderId="30" xfId="0" applyFill="1" applyBorder="1" applyAlignment="1"/>
    <xf numFmtId="0" fontId="19" fillId="9" borderId="20" xfId="0" applyFont="1" applyFill="1" applyBorder="1" applyAlignment="1">
      <alignment horizontal="center" vertical="center" wrapText="1"/>
    </xf>
    <xf numFmtId="0" fontId="21" fillId="9" borderId="21" xfId="0" applyFont="1" applyFill="1" applyBorder="1" applyAlignment="1"/>
    <xf numFmtId="0" fontId="21" fillId="9" borderId="22" xfId="0" applyFont="1" applyFill="1" applyBorder="1" applyAlignment="1"/>
    <xf numFmtId="0" fontId="18" fillId="2" borderId="20" xfId="0" applyFont="1" applyFill="1" applyBorder="1" applyAlignment="1">
      <alignment horizontal="center" vertical="center" wrapText="1"/>
    </xf>
    <xf numFmtId="0" fontId="22" fillId="0" borderId="21" xfId="0" applyFont="1" applyBorder="1" applyAlignment="1"/>
    <xf numFmtId="0" fontId="22" fillId="0" borderId="22" xfId="0" applyFont="1" applyBorder="1" applyAlignment="1"/>
    <xf numFmtId="0" fontId="23" fillId="6" borderId="15" xfId="0" applyFont="1" applyFill="1" applyBorder="1" applyAlignment="1">
      <alignment horizontal="center" vertical="center" wrapText="1"/>
    </xf>
    <xf numFmtId="0" fontId="48" fillId="2" borderId="49" xfId="0" applyFont="1" applyFill="1" applyBorder="1" applyAlignment="1">
      <alignment horizontal="left" vertical="center" wrapText="1"/>
    </xf>
    <xf numFmtId="0" fontId="0" fillId="2" borderId="48" xfId="0" applyFill="1" applyBorder="1" applyAlignment="1">
      <alignment horizontal="left" vertical="center" wrapText="1"/>
    </xf>
    <xf numFmtId="0" fontId="0" fillId="0" borderId="37" xfId="0" applyBorder="1" applyAlignment="1">
      <alignment horizontal="left" wrapText="1"/>
    </xf>
    <xf numFmtId="0" fontId="47" fillId="2" borderId="69" xfId="0" applyFont="1" applyFill="1" applyBorder="1" applyAlignment="1">
      <alignment horizontal="left" vertical="center" wrapText="1"/>
    </xf>
    <xf numFmtId="0" fontId="0" fillId="2" borderId="70" xfId="0" applyFill="1" applyBorder="1" applyAlignment="1">
      <alignment horizontal="left" vertical="center" wrapText="1"/>
    </xf>
    <xf numFmtId="0" fontId="0" fillId="0" borderId="71" xfId="0" applyBorder="1" applyAlignment="1">
      <alignment vertical="center" wrapText="1"/>
    </xf>
    <xf numFmtId="0" fontId="22" fillId="0" borderId="37" xfId="0" applyFont="1" applyBorder="1" applyAlignment="1">
      <alignment horizontal="right"/>
    </xf>
    <xf numFmtId="0" fontId="22" fillId="0" borderId="5" xfId="0" applyFont="1" applyBorder="1" applyAlignment="1">
      <alignment horizontal="right"/>
    </xf>
    <xf numFmtId="0" fontId="22" fillId="0" borderId="48" xfId="0" applyFont="1" applyBorder="1" applyAlignment="1">
      <alignment horizontal="right"/>
    </xf>
    <xf numFmtId="0" fontId="22" fillId="0" borderId="48" xfId="0" applyFont="1" applyBorder="1" applyAlignment="1">
      <alignment horizontal="right" vertical="center"/>
    </xf>
    <xf numFmtId="0" fontId="22" fillId="0" borderId="37" xfId="0" applyFont="1" applyBorder="1" applyAlignment="1">
      <alignment horizontal="right" vertical="center"/>
    </xf>
  </cellXfs>
  <cellStyles count="7">
    <cellStyle name="Currency" xfId="1" builtinId="4"/>
    <cellStyle name="Currency 2" xfId="4" xr:uid="{00000000-0005-0000-0000-000001000000}"/>
    <cellStyle name="Normal" xfId="0" builtinId="0"/>
    <cellStyle name="Normal 2" xfId="5" xr:uid="{00000000-0005-0000-0000-000003000000}"/>
    <cellStyle name="Normal 3" xfId="6" xr:uid="{00000000-0005-0000-0000-000004000000}"/>
    <cellStyle name="Normal 4" xfId="3" xr:uid="{00000000-0005-0000-0000-000005000000}"/>
    <cellStyle name="Percent" xfId="2" builtinId="5"/>
  </cellStyles>
  <dxfs count="231">
    <dxf>
      <font>
        <b/>
        <i val="0"/>
        <color rgb="FFFF0000"/>
      </font>
    </dxf>
    <dxf>
      <font>
        <b/>
        <i val="0"/>
        <color rgb="FFFF0000"/>
      </font>
    </dxf>
    <dxf>
      <font>
        <b/>
        <i val="0"/>
        <color rgb="FFFF0000"/>
      </font>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
      <font>
        <b/>
        <i val="0"/>
        <color rgb="FFFF0000"/>
      </font>
    </dxf>
    <dxf>
      <font>
        <b/>
        <i val="0"/>
        <color rgb="FFFF0000"/>
      </font>
    </dxf>
    <dxf>
      <fill>
        <patternFill>
          <bgColor rgb="FF00FF00"/>
        </patternFill>
      </fill>
    </dxf>
    <dxf>
      <fill>
        <patternFill>
          <bgColor rgb="FFFFFF00"/>
        </patternFill>
      </fill>
    </dxf>
    <dxf>
      <fill>
        <patternFill>
          <bgColor rgb="FFFF9900"/>
        </patternFill>
      </fill>
    </dxf>
    <dxf>
      <fill>
        <patternFill>
          <bgColor rgb="FFFF3300"/>
        </patternFill>
      </fill>
    </dxf>
    <dxf>
      <fill>
        <patternFill>
          <bgColor theme="6" tint="-0.24994659260841701"/>
        </patternFill>
      </fill>
    </dxf>
    <dxf>
      <fill>
        <patternFill>
          <bgColor theme="8" tint="0.79998168889431442"/>
        </patternFill>
      </fill>
    </dxf>
    <dxf>
      <fill>
        <patternFill>
          <bgColor theme="3" tint="0.39994506668294322"/>
        </patternFill>
      </fill>
    </dxf>
    <dxf>
      <font>
        <b/>
        <i val="0"/>
        <color rgb="FFFF0000"/>
      </font>
    </dxf>
  </dxfs>
  <tableStyles count="0" defaultTableStyle="TableStyleMedium2" defaultPivotStyle="PivotStyleLight16"/>
  <colors>
    <mruColors>
      <color rgb="FFE5E0EF"/>
      <color rgb="FFE5E0EC"/>
      <color rgb="FFFFFFCC"/>
      <color rgb="FFFF3300"/>
      <color rgb="FFFF7C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333"/>
  <sheetViews>
    <sheetView tabSelected="1" view="pageLayout" topLeftCell="B185" zoomScaleNormal="80" workbookViewId="0">
      <selection activeCell="F190" sqref="F190"/>
    </sheetView>
  </sheetViews>
  <sheetFormatPr defaultRowHeight="15" outlineLevelCol="1"/>
  <cols>
    <col min="1" max="1" width="6.7109375" hidden="1" customWidth="1"/>
    <col min="2" max="2" width="7.7109375" customWidth="1"/>
    <col min="3" max="3" width="10" customWidth="1"/>
    <col min="4" max="4" width="11.85546875" style="135" hidden="1" customWidth="1"/>
    <col min="5" max="5" width="26" style="328" customWidth="1"/>
    <col min="6" max="6" width="34.7109375" style="134" customWidth="1"/>
    <col min="7" max="7" width="35.140625" style="134" hidden="1" customWidth="1"/>
    <col min="8" max="8" width="15" customWidth="1"/>
    <col min="9" max="9" width="9.7109375" hidden="1" customWidth="1" outlineLevel="1"/>
    <col min="10" max="10" width="9.5703125" hidden="1" customWidth="1" outlineLevel="1"/>
    <col min="11" max="13" width="9.140625" hidden="1" customWidth="1" outlineLevel="1"/>
    <col min="14" max="16" width="8.85546875" hidden="1" customWidth="1" outlineLevel="1"/>
    <col min="17" max="20" width="8.7109375" hidden="1" customWidth="1" outlineLevel="1"/>
    <col min="21" max="21" width="11.140625" hidden="1" customWidth="1" collapsed="1"/>
    <col min="22" max="32" width="8.85546875" hidden="1" customWidth="1" outlineLevel="1"/>
    <col min="33" max="33" width="9.140625" hidden="1" customWidth="1" collapsed="1"/>
    <col min="34" max="34" width="9.140625" hidden="1" customWidth="1"/>
    <col min="35" max="35" width="7.42578125" customWidth="1"/>
    <col min="36" max="36" width="9.140625" hidden="1" customWidth="1"/>
    <col min="37" max="37" width="8.42578125" customWidth="1"/>
    <col min="38" max="38" width="11.7109375" style="106" customWidth="1"/>
    <col min="39" max="39" width="13.140625" style="103" hidden="1" customWidth="1" outlineLevel="1"/>
    <col min="40" max="40" width="12.7109375" style="106" hidden="1" customWidth="1" outlineLevel="1"/>
    <col min="41" max="41" width="13" style="106" hidden="1" customWidth="1" outlineLevel="1"/>
    <col min="42" max="42" width="13.28515625" style="106" hidden="1" customWidth="1" outlineLevel="1"/>
    <col min="43" max="43" width="15" style="106" hidden="1" customWidth="1" outlineLevel="1"/>
    <col min="44" max="44" width="12.7109375" customWidth="1" collapsed="1"/>
    <col min="45" max="45" width="13" customWidth="1"/>
    <col min="46" max="46" width="13.85546875" customWidth="1"/>
    <col min="47" max="48" width="13.42578125" customWidth="1"/>
  </cols>
  <sheetData>
    <row r="1" spans="1:49" ht="45" customHeight="1">
      <c r="A1" s="415"/>
      <c r="B1" s="415" t="str">
        <f ca="1">"FY"&amp; (YEAR(TODAY())+1)&amp;"-" &amp; (YEAR(TODAY())+5)&amp;" CIP by Funding Source"</f>
        <v>FY2021-2025 CIP by Funding Source</v>
      </c>
      <c r="C1" s="98"/>
      <c r="D1" s="367"/>
      <c r="E1" s="98"/>
      <c r="F1" s="124"/>
      <c r="G1" s="124"/>
      <c r="H1" s="98"/>
      <c r="I1" s="642" t="s">
        <v>382</v>
      </c>
      <c r="J1" s="52" t="s">
        <v>384</v>
      </c>
      <c r="K1" s="734" t="s">
        <v>385</v>
      </c>
      <c r="L1" s="735"/>
      <c r="M1" s="742" t="s">
        <v>390</v>
      </c>
      <c r="N1" s="742"/>
      <c r="O1" s="742"/>
      <c r="P1" s="742"/>
      <c r="Q1" s="742"/>
      <c r="R1" s="742"/>
      <c r="S1" s="742"/>
      <c r="T1" s="742"/>
      <c r="U1" s="446"/>
      <c r="V1" s="446"/>
      <c r="W1" s="447"/>
      <c r="X1" s="447"/>
      <c r="Y1" s="447"/>
      <c r="Z1" s="447"/>
      <c r="AA1" s="447"/>
      <c r="AB1" s="447"/>
      <c r="AC1" s="447"/>
      <c r="AD1" s="447"/>
      <c r="AE1" s="447"/>
      <c r="AF1" s="447"/>
      <c r="AG1" s="48" t="s">
        <v>404</v>
      </c>
      <c r="AH1" s="454" t="s">
        <v>404</v>
      </c>
      <c r="AI1" s="448"/>
      <c r="AJ1" s="448"/>
      <c r="AK1" s="449"/>
      <c r="AL1" s="450" t="s">
        <v>514</v>
      </c>
      <c r="AM1" s="451"/>
      <c r="AN1" s="452"/>
      <c r="AO1" s="452"/>
      <c r="AP1" s="452"/>
      <c r="AQ1" s="452"/>
      <c r="AR1" s="728" t="s">
        <v>1291</v>
      </c>
      <c r="AS1" s="729"/>
      <c r="AT1" s="729"/>
      <c r="AU1" s="729"/>
      <c r="AV1" s="730"/>
      <c r="AW1" s="80"/>
    </row>
    <row r="2" spans="1:49" ht="16.5" customHeight="1">
      <c r="A2" s="99"/>
      <c r="B2" s="368" t="s">
        <v>1552</v>
      </c>
      <c r="D2" s="368"/>
      <c r="F2" s="125"/>
      <c r="G2" s="125"/>
      <c r="H2" s="100"/>
      <c r="I2" s="643" t="s">
        <v>383</v>
      </c>
      <c r="J2" s="736" t="s">
        <v>383</v>
      </c>
      <c r="K2" s="737"/>
      <c r="L2" s="738"/>
      <c r="M2" s="57" t="s">
        <v>383</v>
      </c>
      <c r="N2" s="57" t="s">
        <v>383</v>
      </c>
      <c r="O2" s="57" t="s">
        <v>383</v>
      </c>
      <c r="P2" s="57" t="s">
        <v>383</v>
      </c>
      <c r="Q2" s="57" t="s">
        <v>383</v>
      </c>
      <c r="R2" s="57" t="s">
        <v>383</v>
      </c>
      <c r="S2" s="57" t="s">
        <v>383</v>
      </c>
      <c r="T2" s="57" t="s">
        <v>383</v>
      </c>
      <c r="U2" s="64" t="s">
        <v>399</v>
      </c>
      <c r="V2" s="67"/>
      <c r="W2" s="74"/>
      <c r="X2" s="74"/>
      <c r="Y2" s="74"/>
      <c r="Z2" s="74"/>
      <c r="AA2" s="74"/>
      <c r="AB2" s="74"/>
      <c r="AC2" s="74"/>
      <c r="AD2" s="74"/>
      <c r="AE2" s="74"/>
      <c r="AF2" s="74"/>
      <c r="AG2" s="78">
        <v>0.75</v>
      </c>
      <c r="AH2" s="638">
        <v>6</v>
      </c>
      <c r="AI2" s="310"/>
      <c r="AK2" s="79"/>
      <c r="AL2" s="108"/>
      <c r="AM2" s="728" t="s">
        <v>409</v>
      </c>
      <c r="AN2" s="729"/>
      <c r="AO2" s="729"/>
      <c r="AP2" s="729"/>
      <c r="AQ2" s="730"/>
      <c r="AR2" s="81" t="s">
        <v>410</v>
      </c>
      <c r="AS2" s="81" t="s">
        <v>410</v>
      </c>
      <c r="AT2" s="81" t="s">
        <v>410</v>
      </c>
      <c r="AU2" s="81" t="s">
        <v>410</v>
      </c>
      <c r="AV2" s="82" t="s">
        <v>410</v>
      </c>
      <c r="AW2" s="80"/>
    </row>
    <row r="3" spans="1:49" ht="19.5" customHeight="1">
      <c r="A3" s="101"/>
      <c r="B3" s="101"/>
      <c r="C3" s="102"/>
      <c r="D3" s="369"/>
      <c r="E3" s="102"/>
      <c r="F3" s="126"/>
      <c r="G3" s="126"/>
      <c r="H3" s="102"/>
      <c r="I3" s="644">
        <v>2</v>
      </c>
      <c r="J3" s="739">
        <v>1</v>
      </c>
      <c r="K3" s="740"/>
      <c r="L3" s="741"/>
      <c r="M3" s="58">
        <v>9</v>
      </c>
      <c r="N3" s="58">
        <v>6</v>
      </c>
      <c r="O3" s="58">
        <v>8</v>
      </c>
      <c r="P3" s="58">
        <v>10</v>
      </c>
      <c r="Q3" s="58">
        <v>5</v>
      </c>
      <c r="R3" s="58">
        <v>7</v>
      </c>
      <c r="S3" s="58">
        <v>6</v>
      </c>
      <c r="T3" s="58">
        <v>6</v>
      </c>
      <c r="U3" s="65">
        <f>SUM(M3:T3)</f>
        <v>57</v>
      </c>
      <c r="V3" s="68"/>
      <c r="W3" s="74"/>
      <c r="X3" s="74"/>
      <c r="Y3" s="74"/>
      <c r="Z3" s="74"/>
      <c r="AA3" s="74"/>
      <c r="AB3" s="74"/>
      <c r="AC3" s="74"/>
      <c r="AD3" s="74"/>
      <c r="AE3" s="74"/>
      <c r="AF3" s="74"/>
      <c r="AG3" s="77"/>
      <c r="AH3" s="639"/>
      <c r="AI3" s="640"/>
      <c r="AK3" s="83"/>
      <c r="AL3" s="109"/>
      <c r="AM3" s="731" t="s">
        <v>985</v>
      </c>
      <c r="AN3" s="732"/>
      <c r="AO3" s="732"/>
      <c r="AP3" s="733"/>
      <c r="AQ3" s="522">
        <v>3.5000000000000003E-2</v>
      </c>
      <c r="AR3" s="84">
        <f>SUM(AR6:AR324)</f>
        <v>47081824</v>
      </c>
      <c r="AS3" s="85">
        <f>SUM(AS6:AS324)</f>
        <v>54202562.647500001</v>
      </c>
      <c r="AT3" s="85">
        <f>SUM(AT6:AT324)</f>
        <v>57455207.892099999</v>
      </c>
      <c r="AU3" s="85">
        <f>SUM(AU6:AU324)</f>
        <v>56686728.409873731</v>
      </c>
      <c r="AV3" s="86">
        <f>SUM(AV6:AV324)</f>
        <v>38053121.399423145</v>
      </c>
      <c r="AW3" s="87"/>
    </row>
    <row r="4" spans="1:49" ht="36" customHeight="1">
      <c r="A4" s="445" t="s">
        <v>458</v>
      </c>
      <c r="B4" s="641" t="s">
        <v>0</v>
      </c>
      <c r="C4" s="115" t="s">
        <v>1</v>
      </c>
      <c r="D4" s="115" t="s">
        <v>2</v>
      </c>
      <c r="E4" s="115" t="s">
        <v>3</v>
      </c>
      <c r="F4" s="115" t="s">
        <v>4</v>
      </c>
      <c r="G4" s="115" t="s">
        <v>5</v>
      </c>
      <c r="H4" s="115" t="str">
        <f ca="1">"Est Cost in FY"&amp;YEAR(TODAY())+1</f>
        <v>Est Cost in FY2021</v>
      </c>
      <c r="I4" s="48" t="s">
        <v>388</v>
      </c>
      <c r="J4" s="53" t="s">
        <v>389</v>
      </c>
      <c r="K4" s="54" t="s">
        <v>386</v>
      </c>
      <c r="L4" s="54" t="s">
        <v>387</v>
      </c>
      <c r="M4" s="59" t="s">
        <v>391</v>
      </c>
      <c r="N4" s="59" t="s">
        <v>398</v>
      </c>
      <c r="O4" s="59" t="s">
        <v>455</v>
      </c>
      <c r="P4" s="59" t="s">
        <v>1088</v>
      </c>
      <c r="Q4" s="59" t="s">
        <v>395</v>
      </c>
      <c r="R4" s="59" t="s">
        <v>396</v>
      </c>
      <c r="S4" s="59" t="s">
        <v>415</v>
      </c>
      <c r="T4" s="60" t="s">
        <v>397</v>
      </c>
      <c r="U4" s="75" t="s">
        <v>400</v>
      </c>
      <c r="V4" s="75" t="s">
        <v>401</v>
      </c>
      <c r="W4" s="75" t="s">
        <v>391</v>
      </c>
      <c r="X4" s="75" t="s">
        <v>392</v>
      </c>
      <c r="Y4" s="75" t="s">
        <v>393</v>
      </c>
      <c r="Z4" s="75" t="s">
        <v>394</v>
      </c>
      <c r="AA4" s="75" t="s">
        <v>395</v>
      </c>
      <c r="AB4" s="75" t="s">
        <v>396</v>
      </c>
      <c r="AC4" s="75" t="s">
        <v>415</v>
      </c>
      <c r="AD4" s="76" t="s">
        <v>397</v>
      </c>
      <c r="AE4" s="76" t="s">
        <v>402</v>
      </c>
      <c r="AF4" s="76" t="s">
        <v>403</v>
      </c>
      <c r="AG4" s="48" t="s">
        <v>405</v>
      </c>
      <c r="AH4" s="454" t="s">
        <v>406</v>
      </c>
      <c r="AI4" s="636" t="s">
        <v>407</v>
      </c>
      <c r="AJ4" s="457" t="s">
        <v>408</v>
      </c>
      <c r="AK4" s="432" t="s">
        <v>357</v>
      </c>
      <c r="AL4" s="453" t="s">
        <v>433</v>
      </c>
      <c r="AM4" s="104" t="str">
        <f ca="1">"FY "&amp;YEAR(TODAY())+1</f>
        <v>FY 2021</v>
      </c>
      <c r="AN4" s="88" t="str">
        <f ca="1">"FY"&amp;YEAR(TODAY())+2</f>
        <v>FY2022</v>
      </c>
      <c r="AO4" s="88" t="str">
        <f ca="1">"FY"&amp;YEAR(TODAY())+3</f>
        <v>FY2023</v>
      </c>
      <c r="AP4" s="88" t="str">
        <f ca="1">"FY"&amp;YEAR(TODAY())+4</f>
        <v>FY2024</v>
      </c>
      <c r="AQ4" s="89" t="str">
        <f ca="1">"FY"&amp;YEAR(TODAY())+5</f>
        <v>FY2025</v>
      </c>
      <c r="AR4" s="433" t="str">
        <f ca="1">AM4</f>
        <v>FY 2021</v>
      </c>
      <c r="AS4" s="434" t="str">
        <f ca="1">AN4</f>
        <v>FY2022</v>
      </c>
      <c r="AT4" s="434" t="str">
        <f ca="1">AO4</f>
        <v>FY2023</v>
      </c>
      <c r="AU4" s="434" t="str">
        <f ca="1">AP4</f>
        <v>FY2024</v>
      </c>
      <c r="AV4" s="435" t="str">
        <f ca="1">AQ4</f>
        <v>FY2025</v>
      </c>
      <c r="AW4" s="90"/>
    </row>
    <row r="5" spans="1:49" ht="36" customHeight="1">
      <c r="A5" s="694"/>
      <c r="B5" s="746" t="s">
        <v>1561</v>
      </c>
      <c r="C5" s="747"/>
      <c r="D5" s="747"/>
      <c r="E5" s="747"/>
      <c r="F5" s="748"/>
      <c r="G5" s="696"/>
      <c r="H5" s="697"/>
      <c r="I5" s="698"/>
      <c r="J5" s="697"/>
      <c r="K5" s="698"/>
      <c r="L5" s="697"/>
      <c r="M5" s="699"/>
      <c r="N5" s="700"/>
      <c r="O5" s="700"/>
      <c r="P5" s="700"/>
      <c r="Q5" s="700"/>
      <c r="R5" s="700"/>
      <c r="S5" s="700"/>
      <c r="T5" s="701"/>
      <c r="U5" s="698"/>
      <c r="V5" s="698"/>
      <c r="W5" s="700"/>
      <c r="X5" s="700"/>
      <c r="Y5" s="700"/>
      <c r="Z5" s="700"/>
      <c r="AA5" s="700"/>
      <c r="AB5" s="700"/>
      <c r="AC5" s="700"/>
      <c r="AD5" s="701"/>
      <c r="AE5" s="702"/>
      <c r="AF5" s="702"/>
      <c r="AG5" s="702"/>
      <c r="AH5" s="698"/>
      <c r="AI5" s="703"/>
      <c r="AJ5" s="701"/>
      <c r="AK5" s="704"/>
      <c r="AL5" s="705"/>
      <c r="AM5" s="706"/>
      <c r="AN5" s="707"/>
      <c r="AO5" s="707"/>
      <c r="AP5" s="707"/>
      <c r="AQ5" s="708"/>
      <c r="AR5" s="709"/>
      <c r="AS5" s="710"/>
      <c r="AT5" s="710"/>
      <c r="AU5" s="710"/>
      <c r="AV5" s="711"/>
      <c r="AW5" s="695"/>
    </row>
    <row r="6" spans="1:49" ht="36" customHeight="1">
      <c r="A6" s="1">
        <v>4</v>
      </c>
      <c r="B6" s="625">
        <v>1</v>
      </c>
      <c r="C6" s="425" t="s">
        <v>6</v>
      </c>
      <c r="D6" s="426" t="s">
        <v>7</v>
      </c>
      <c r="E6" s="441" t="s">
        <v>419</v>
      </c>
      <c r="F6" s="4" t="s">
        <v>1539</v>
      </c>
      <c r="G6" s="4" t="s">
        <v>11</v>
      </c>
      <c r="H6" s="611">
        <v>37500000</v>
      </c>
      <c r="I6" s="376">
        <v>2</v>
      </c>
      <c r="J6" s="490">
        <v>0</v>
      </c>
      <c r="K6" s="376"/>
      <c r="L6" s="491"/>
      <c r="M6" s="429">
        <v>10</v>
      </c>
      <c r="N6" s="430">
        <v>10</v>
      </c>
      <c r="O6" s="430">
        <v>4.0000000000000027</v>
      </c>
      <c r="P6" s="430">
        <v>6.0000000000000036</v>
      </c>
      <c r="Q6" s="430">
        <v>4.0000000000000027</v>
      </c>
      <c r="R6" s="430">
        <v>9</v>
      </c>
      <c r="S6" s="430">
        <v>5</v>
      </c>
      <c r="T6" s="431">
        <v>9.9999999999999982</v>
      </c>
      <c r="U6" s="650" t="e">
        <f t="shared" ref="U6:U37" ca="1" si="0">(L6-(YEAR(TODAY())-K6))/L6</f>
        <v>#DIV/0!</v>
      </c>
      <c r="V6" s="650">
        <f t="shared" ref="V6:V37" ca="1" si="1">IFERROR(U6,J6)</f>
        <v>0</v>
      </c>
      <c r="W6" s="651">
        <f t="shared" ref="W6:W37" si="2">M6*Weight1/(WSum)</f>
        <v>1.5789473684210527</v>
      </c>
      <c r="X6" s="651">
        <f t="shared" ref="X6:X37" si="3">N6*Weight2/(WSum)</f>
        <v>1.0526315789473684</v>
      </c>
      <c r="Y6" s="651">
        <f t="shared" ref="Y6:Y37" si="4">O6*Weight3/(WSum)</f>
        <v>0.56140350877193024</v>
      </c>
      <c r="Z6" s="651">
        <f t="shared" ref="Z6:Z37" si="5">P6*Weight4/(WSum)</f>
        <v>1.052631578947369</v>
      </c>
      <c r="AA6" s="651">
        <f t="shared" ref="AA6:AA37" si="6">Q6*Weight5/(WSum)</f>
        <v>0.3508771929824564</v>
      </c>
      <c r="AB6" s="651">
        <f t="shared" ref="AB6:AB37" si="7">R6*Weight6/(WSum)</f>
        <v>1.1052631578947369</v>
      </c>
      <c r="AC6" s="651">
        <f t="shared" ref="AC6:AC37" si="8">S6*Weight7/(WSum)</f>
        <v>0.52631578947368418</v>
      </c>
      <c r="AD6" s="652">
        <f t="shared" ref="AD6:AD37" si="9">T6*Weight8/(WSum)</f>
        <v>1.0526315789473681</v>
      </c>
      <c r="AE6" s="653">
        <f t="shared" ref="AE6:AE37" si="10">-1/10*I6+1</f>
        <v>0.8</v>
      </c>
      <c r="AF6" s="653">
        <f t="shared" ref="AF6:AF37" ca="1" si="11">IF(V6&lt;0,0,-V6+1)</f>
        <v>1</v>
      </c>
      <c r="AG6" s="589">
        <f t="shared" ref="AG6:AG37" ca="1" si="12">(AE6*CondWeight+AF6*PLifeWeight)/(CondWeight+PLifeWeight)</f>
        <v>0.8666666666666667</v>
      </c>
      <c r="AH6" s="654">
        <f t="shared" ref="AH6:AH37" si="13">SUM(W6:AD6)</f>
        <v>7.2807017543859667</v>
      </c>
      <c r="AI6" s="466">
        <f t="shared" ref="AI6:AI37" ca="1" si="14">AH6*AG6*10</f>
        <v>63.09941520467838</v>
      </c>
      <c r="AJ6" s="458" t="str">
        <f t="shared" ref="AJ6:AJ37" ca="1" si="15">IF(AG6&gt;$AG$2,IF(AH6&gt;$AH$2,"Q1","Q2"),IF(AH6&gt;$AH$2,"Q3","Q4"))</f>
        <v>Q1</v>
      </c>
      <c r="AK6" s="91" t="s">
        <v>411</v>
      </c>
      <c r="AL6" s="663">
        <v>750000</v>
      </c>
      <c r="AM6" s="117">
        <v>5000000</v>
      </c>
      <c r="AN6" s="113">
        <v>16908212.5</v>
      </c>
      <c r="AO6" s="113">
        <v>14002660.5</v>
      </c>
      <c r="AP6" s="113"/>
      <c r="AQ6" s="121"/>
      <c r="AR6" s="436">
        <f>AM6</f>
        <v>5000000</v>
      </c>
      <c r="AS6" s="437">
        <f>AN6*(1+Efactor)</f>
        <v>17499999.9375</v>
      </c>
      <c r="AT6" s="437">
        <v>14250000</v>
      </c>
      <c r="AU6" s="437"/>
      <c r="AV6" s="437"/>
      <c r="AW6" s="92"/>
    </row>
    <row r="7" spans="1:49" ht="36" customHeight="1">
      <c r="A7" s="1">
        <v>2</v>
      </c>
      <c r="B7" s="625">
        <v>2</v>
      </c>
      <c r="C7" s="2" t="s">
        <v>6</v>
      </c>
      <c r="D7" s="370" t="s">
        <v>7</v>
      </c>
      <c r="E7" s="3" t="s">
        <v>1095</v>
      </c>
      <c r="F7" s="4" t="s">
        <v>1325</v>
      </c>
      <c r="G7" s="4"/>
      <c r="H7" s="599">
        <v>12700000</v>
      </c>
      <c r="I7" s="376">
        <v>3</v>
      </c>
      <c r="J7" s="377">
        <v>0.1</v>
      </c>
      <c r="K7" s="376"/>
      <c r="L7" s="378"/>
      <c r="M7" s="61">
        <v>6</v>
      </c>
      <c r="N7" s="62">
        <v>10</v>
      </c>
      <c r="O7" s="62">
        <v>8</v>
      </c>
      <c r="P7" s="62">
        <v>4</v>
      </c>
      <c r="Q7" s="62">
        <v>8</v>
      </c>
      <c r="R7" s="62">
        <v>8</v>
      </c>
      <c r="S7" s="62">
        <v>6</v>
      </c>
      <c r="T7" s="63">
        <v>9.9999999999999982</v>
      </c>
      <c r="U7" s="66" t="e">
        <f t="shared" ca="1" si="0"/>
        <v>#DIV/0!</v>
      </c>
      <c r="V7" s="69">
        <f t="shared" ca="1" si="1"/>
        <v>0.1</v>
      </c>
      <c r="W7" s="70">
        <f t="shared" si="2"/>
        <v>0.94736842105263153</v>
      </c>
      <c r="X7" s="70">
        <f t="shared" si="3"/>
        <v>1.0526315789473684</v>
      </c>
      <c r="Y7" s="70">
        <f t="shared" si="4"/>
        <v>1.1228070175438596</v>
      </c>
      <c r="Z7" s="70">
        <f t="shared" si="5"/>
        <v>0.70175438596491224</v>
      </c>
      <c r="AA7" s="70">
        <f t="shared" si="6"/>
        <v>0.70175438596491224</v>
      </c>
      <c r="AB7" s="70">
        <f t="shared" si="7"/>
        <v>0.98245614035087714</v>
      </c>
      <c r="AC7" s="70">
        <f t="shared" si="8"/>
        <v>0.63157894736842102</v>
      </c>
      <c r="AD7" s="71">
        <f t="shared" si="9"/>
        <v>1.0526315789473681</v>
      </c>
      <c r="AE7" s="72">
        <f t="shared" si="10"/>
        <v>0.7</v>
      </c>
      <c r="AF7" s="72">
        <f t="shared" ca="1" si="11"/>
        <v>0.9</v>
      </c>
      <c r="AG7" s="73">
        <f t="shared" ca="1" si="12"/>
        <v>0.76666666666666661</v>
      </c>
      <c r="AH7" s="455">
        <f t="shared" si="13"/>
        <v>7.192982456140351</v>
      </c>
      <c r="AI7" s="466">
        <f t="shared" ca="1" si="14"/>
        <v>55.146198830409354</v>
      </c>
      <c r="AJ7" s="458" t="str">
        <f t="shared" ca="1" si="15"/>
        <v>Q1</v>
      </c>
      <c r="AK7" s="91" t="s">
        <v>360</v>
      </c>
      <c r="AL7" s="663">
        <v>1000000</v>
      </c>
      <c r="AM7" s="422">
        <v>11700000</v>
      </c>
      <c r="AN7" s="105"/>
      <c r="AO7" s="105"/>
      <c r="AP7" s="105"/>
      <c r="AQ7" s="493"/>
      <c r="AR7" s="436">
        <f>AM7</f>
        <v>11700000</v>
      </c>
      <c r="AS7" s="437"/>
      <c r="AT7" s="437"/>
      <c r="AU7" s="437"/>
      <c r="AV7" s="437"/>
      <c r="AW7" s="92"/>
    </row>
    <row r="8" spans="1:49" ht="36" customHeight="1">
      <c r="A8" s="424">
        <v>5</v>
      </c>
      <c r="B8" s="625">
        <v>3</v>
      </c>
      <c r="C8" s="425" t="s">
        <v>12</v>
      </c>
      <c r="D8" s="426" t="s">
        <v>7</v>
      </c>
      <c r="E8" s="12" t="s">
        <v>1558</v>
      </c>
      <c r="F8" s="13" t="s">
        <v>1540</v>
      </c>
      <c r="G8" s="112" t="s">
        <v>13</v>
      </c>
      <c r="H8" s="600">
        <v>15386000</v>
      </c>
      <c r="I8" s="49">
        <v>3</v>
      </c>
      <c r="J8" s="427">
        <v>0.1</v>
      </c>
      <c r="K8" s="49"/>
      <c r="L8" s="428"/>
      <c r="M8" s="429">
        <v>8</v>
      </c>
      <c r="N8" s="430">
        <v>8</v>
      </c>
      <c r="O8" s="430">
        <v>5</v>
      </c>
      <c r="P8" s="430">
        <v>8</v>
      </c>
      <c r="Q8" s="430">
        <v>7</v>
      </c>
      <c r="R8" s="430">
        <v>9</v>
      </c>
      <c r="S8" s="430">
        <v>3</v>
      </c>
      <c r="T8" s="431">
        <v>9</v>
      </c>
      <c r="U8" s="66" t="e">
        <f t="shared" ca="1" si="0"/>
        <v>#DIV/0!</v>
      </c>
      <c r="V8" s="66">
        <f t="shared" ca="1" si="1"/>
        <v>0.1</v>
      </c>
      <c r="W8" s="70">
        <f t="shared" si="2"/>
        <v>1.263157894736842</v>
      </c>
      <c r="X8" s="70">
        <f t="shared" si="3"/>
        <v>0.84210526315789469</v>
      </c>
      <c r="Y8" s="70">
        <f t="shared" si="4"/>
        <v>0.70175438596491224</v>
      </c>
      <c r="Z8" s="70">
        <f t="shared" si="5"/>
        <v>1.4035087719298245</v>
      </c>
      <c r="AA8" s="70">
        <f t="shared" si="6"/>
        <v>0.61403508771929827</v>
      </c>
      <c r="AB8" s="70">
        <f t="shared" si="7"/>
        <v>1.1052631578947369</v>
      </c>
      <c r="AC8" s="70">
        <f t="shared" si="8"/>
        <v>0.31578947368421051</v>
      </c>
      <c r="AD8" s="71">
        <f t="shared" si="9"/>
        <v>0.94736842105263153</v>
      </c>
      <c r="AE8" s="72">
        <f t="shared" si="10"/>
        <v>0.7</v>
      </c>
      <c r="AF8" s="72">
        <f t="shared" ca="1" si="11"/>
        <v>0.9</v>
      </c>
      <c r="AG8" s="73">
        <f t="shared" ca="1" si="12"/>
        <v>0.76666666666666661</v>
      </c>
      <c r="AH8" s="456">
        <f t="shared" si="13"/>
        <v>7.192982456140351</v>
      </c>
      <c r="AI8" s="467">
        <f t="shared" ca="1" si="14"/>
        <v>55.146198830409354</v>
      </c>
      <c r="AJ8" s="458" t="str">
        <f t="shared" ca="1" si="15"/>
        <v>Q1</v>
      </c>
      <c r="AK8" s="95" t="s">
        <v>360</v>
      </c>
      <c r="AL8" s="664"/>
      <c r="AM8" s="107">
        <v>4000000</v>
      </c>
      <c r="AN8" s="113">
        <v>2898551</v>
      </c>
      <c r="AO8" s="113">
        <v>7934841</v>
      </c>
      <c r="AP8" s="105"/>
      <c r="AQ8" s="493"/>
      <c r="AR8" s="436">
        <v>1500000</v>
      </c>
      <c r="AS8" s="437">
        <v>7500000</v>
      </c>
      <c r="AT8" s="437">
        <v>6000000</v>
      </c>
      <c r="AU8" s="437"/>
      <c r="AV8" s="437"/>
      <c r="AW8" s="94"/>
    </row>
    <row r="9" spans="1:49" ht="36" customHeight="1">
      <c r="A9" s="1">
        <v>30</v>
      </c>
      <c r="B9" s="625">
        <v>6</v>
      </c>
      <c r="C9" s="648" t="s">
        <v>6</v>
      </c>
      <c r="D9" s="649" t="s">
        <v>7</v>
      </c>
      <c r="E9" s="717" t="s">
        <v>1518</v>
      </c>
      <c r="F9" s="719" t="s">
        <v>1556</v>
      </c>
      <c r="G9" s="724"/>
      <c r="H9" s="611">
        <v>3138155</v>
      </c>
      <c r="I9" s="376">
        <v>2</v>
      </c>
      <c r="J9" s="490">
        <v>0</v>
      </c>
      <c r="K9" s="376"/>
      <c r="L9" s="491"/>
      <c r="M9" s="429">
        <v>6</v>
      </c>
      <c r="N9" s="430">
        <v>8</v>
      </c>
      <c r="O9" s="430">
        <v>6</v>
      </c>
      <c r="P9" s="430">
        <v>8</v>
      </c>
      <c r="Q9" s="430">
        <v>0</v>
      </c>
      <c r="R9" s="430">
        <v>6</v>
      </c>
      <c r="S9" s="430">
        <v>0</v>
      </c>
      <c r="T9" s="431">
        <v>10</v>
      </c>
      <c r="U9" s="650" t="e">
        <f t="shared" ca="1" si="0"/>
        <v>#DIV/0!</v>
      </c>
      <c r="V9" s="650">
        <f t="shared" ca="1" si="1"/>
        <v>0</v>
      </c>
      <c r="W9" s="651">
        <f t="shared" si="2"/>
        <v>0.94736842105263153</v>
      </c>
      <c r="X9" s="651">
        <f t="shared" si="3"/>
        <v>0.84210526315789469</v>
      </c>
      <c r="Y9" s="651">
        <f t="shared" si="4"/>
        <v>0.84210526315789469</v>
      </c>
      <c r="Z9" s="651">
        <f t="shared" si="5"/>
        <v>1.4035087719298245</v>
      </c>
      <c r="AA9" s="651">
        <f t="shared" si="6"/>
        <v>0</v>
      </c>
      <c r="AB9" s="651">
        <f t="shared" si="7"/>
        <v>0.73684210526315785</v>
      </c>
      <c r="AC9" s="651">
        <f t="shared" si="8"/>
        <v>0</v>
      </c>
      <c r="AD9" s="652">
        <f t="shared" si="9"/>
        <v>1.0526315789473684</v>
      </c>
      <c r="AE9" s="653">
        <f t="shared" si="10"/>
        <v>0.8</v>
      </c>
      <c r="AF9" s="653">
        <f t="shared" ca="1" si="11"/>
        <v>1</v>
      </c>
      <c r="AG9" s="589">
        <f t="shared" ca="1" si="12"/>
        <v>0.8666666666666667</v>
      </c>
      <c r="AH9" s="654">
        <f t="shared" si="13"/>
        <v>5.8245614035087705</v>
      </c>
      <c r="AI9" s="466">
        <f t="shared" ca="1" si="14"/>
        <v>50.479532163742675</v>
      </c>
      <c r="AJ9" s="458" t="str">
        <f t="shared" ca="1" si="15"/>
        <v>Q2</v>
      </c>
      <c r="AK9" s="91" t="s">
        <v>360</v>
      </c>
      <c r="AL9" s="110"/>
      <c r="AM9" s="117">
        <v>4000000</v>
      </c>
      <c r="AN9" s="113"/>
      <c r="AO9" s="113"/>
      <c r="AP9" s="113"/>
      <c r="AQ9" s="121"/>
      <c r="AR9" s="655">
        <f>H9</f>
        <v>3138155</v>
      </c>
      <c r="AS9" s="437"/>
      <c r="AT9" s="437"/>
      <c r="AU9" s="437"/>
      <c r="AV9" s="437"/>
      <c r="AW9" s="92"/>
    </row>
    <row r="10" spans="1:49" ht="36" customHeight="1">
      <c r="A10" s="1">
        <v>55</v>
      </c>
      <c r="B10" s="625">
        <v>7</v>
      </c>
      <c r="C10" s="425" t="s">
        <v>20</v>
      </c>
      <c r="D10" s="426" t="s">
        <v>7</v>
      </c>
      <c r="E10" s="441" t="s">
        <v>117</v>
      </c>
      <c r="F10" s="675" t="s">
        <v>1541</v>
      </c>
      <c r="G10" s="488" t="s">
        <v>118</v>
      </c>
      <c r="H10" s="599">
        <v>400000</v>
      </c>
      <c r="I10" s="376">
        <v>0</v>
      </c>
      <c r="J10" s="490">
        <v>0</v>
      </c>
      <c r="K10" s="376"/>
      <c r="L10" s="491"/>
      <c r="M10" s="429">
        <v>6</v>
      </c>
      <c r="N10" s="430">
        <v>4</v>
      </c>
      <c r="O10" s="430">
        <v>4</v>
      </c>
      <c r="P10" s="430">
        <v>5</v>
      </c>
      <c r="Q10" s="430">
        <v>4</v>
      </c>
      <c r="R10" s="430">
        <v>5</v>
      </c>
      <c r="S10" s="430">
        <v>5</v>
      </c>
      <c r="T10" s="431">
        <v>7</v>
      </c>
      <c r="U10" s="650" t="e">
        <f t="shared" ca="1" si="0"/>
        <v>#DIV/0!</v>
      </c>
      <c r="V10" s="650">
        <f t="shared" ca="1" si="1"/>
        <v>0</v>
      </c>
      <c r="W10" s="651">
        <f t="shared" si="2"/>
        <v>0.94736842105263153</v>
      </c>
      <c r="X10" s="651">
        <f t="shared" si="3"/>
        <v>0.42105263157894735</v>
      </c>
      <c r="Y10" s="651">
        <f t="shared" si="4"/>
        <v>0.56140350877192979</v>
      </c>
      <c r="Z10" s="651">
        <f t="shared" si="5"/>
        <v>0.8771929824561403</v>
      </c>
      <c r="AA10" s="651">
        <f t="shared" si="6"/>
        <v>0.35087719298245612</v>
      </c>
      <c r="AB10" s="651">
        <f t="shared" si="7"/>
        <v>0.61403508771929827</v>
      </c>
      <c r="AC10" s="651">
        <f t="shared" si="8"/>
        <v>0.52631578947368418</v>
      </c>
      <c r="AD10" s="652">
        <f t="shared" si="9"/>
        <v>0.73684210526315785</v>
      </c>
      <c r="AE10" s="653">
        <f t="shared" si="10"/>
        <v>1</v>
      </c>
      <c r="AF10" s="653">
        <f t="shared" ca="1" si="11"/>
        <v>1</v>
      </c>
      <c r="AG10" s="589">
        <f t="shared" ca="1" si="12"/>
        <v>1</v>
      </c>
      <c r="AH10" s="654">
        <f t="shared" si="13"/>
        <v>5.0350877192982457</v>
      </c>
      <c r="AI10" s="466">
        <f t="shared" ca="1" si="14"/>
        <v>50.350877192982459</v>
      </c>
      <c r="AJ10" s="458" t="str">
        <f t="shared" ca="1" si="15"/>
        <v>Q2</v>
      </c>
      <c r="AK10" s="91" t="s">
        <v>360</v>
      </c>
      <c r="AL10" s="110"/>
      <c r="AM10" s="660">
        <v>400000</v>
      </c>
      <c r="AN10" s="113"/>
      <c r="AO10" s="113"/>
      <c r="AP10" s="113"/>
      <c r="AQ10" s="121"/>
      <c r="AR10" s="655">
        <f>AM10</f>
        <v>400000</v>
      </c>
      <c r="AS10" s="437"/>
      <c r="AT10" s="437"/>
      <c r="AU10" s="437"/>
      <c r="AV10" s="437"/>
      <c r="AW10" s="92"/>
    </row>
    <row r="11" spans="1:49" ht="35.25" customHeight="1">
      <c r="A11" s="1"/>
      <c r="B11" s="625">
        <v>8</v>
      </c>
      <c r="C11" s="425" t="s">
        <v>12</v>
      </c>
      <c r="D11" s="426" t="s">
        <v>7</v>
      </c>
      <c r="E11" s="461" t="s">
        <v>1555</v>
      </c>
      <c r="F11" s="645" t="s">
        <v>1553</v>
      </c>
      <c r="G11" s="488" t="s">
        <v>31</v>
      </c>
      <c r="H11" s="602">
        <v>6442000</v>
      </c>
      <c r="I11" s="376">
        <v>3</v>
      </c>
      <c r="J11" s="490">
        <v>0.2</v>
      </c>
      <c r="K11" s="376"/>
      <c r="L11" s="491"/>
      <c r="M11" s="429">
        <v>8.0000000000000053</v>
      </c>
      <c r="N11" s="430">
        <v>8</v>
      </c>
      <c r="O11" s="430">
        <v>5.0000000000000027</v>
      </c>
      <c r="P11" s="430">
        <v>8</v>
      </c>
      <c r="Q11" s="430">
        <v>6.0000000000000036</v>
      </c>
      <c r="R11" s="62">
        <v>7</v>
      </c>
      <c r="S11" s="62">
        <v>4</v>
      </c>
      <c r="T11" s="63">
        <v>8.0000000000000053</v>
      </c>
      <c r="U11" s="379" t="e">
        <f t="shared" ca="1" si="0"/>
        <v>#DIV/0!</v>
      </c>
      <c r="V11" s="379">
        <f t="shared" ca="1" si="1"/>
        <v>0.2</v>
      </c>
      <c r="W11" s="70">
        <f t="shared" si="2"/>
        <v>1.2631578947368429</v>
      </c>
      <c r="X11" s="70">
        <f t="shared" si="3"/>
        <v>0.84210526315789469</v>
      </c>
      <c r="Y11" s="70">
        <f t="shared" si="4"/>
        <v>0.70175438596491269</v>
      </c>
      <c r="Z11" s="70">
        <f t="shared" si="5"/>
        <v>1.4035087719298245</v>
      </c>
      <c r="AA11" s="70">
        <f t="shared" si="6"/>
        <v>0.52631578947368451</v>
      </c>
      <c r="AB11" s="70">
        <f t="shared" si="7"/>
        <v>0.85964912280701755</v>
      </c>
      <c r="AC11" s="70">
        <f t="shared" si="8"/>
        <v>0.42105263157894735</v>
      </c>
      <c r="AD11" s="71">
        <f t="shared" si="9"/>
        <v>0.84210526315789525</v>
      </c>
      <c r="AE11" s="72">
        <f t="shared" si="10"/>
        <v>0.7</v>
      </c>
      <c r="AF11" s="72">
        <f t="shared" ca="1" si="11"/>
        <v>0.8</v>
      </c>
      <c r="AG11" s="73">
        <f t="shared" ca="1" si="12"/>
        <v>0.73333333333333339</v>
      </c>
      <c r="AH11" s="455">
        <f t="shared" si="13"/>
        <v>6.8596491228070189</v>
      </c>
      <c r="AI11" s="466">
        <f t="shared" ca="1" si="14"/>
        <v>50.304093567251478</v>
      </c>
      <c r="AJ11" s="458" t="str">
        <f t="shared" ca="1" si="15"/>
        <v>Q3</v>
      </c>
      <c r="AK11" s="373" t="s">
        <v>360</v>
      </c>
      <c r="AL11" s="685">
        <v>280000</v>
      </c>
      <c r="AM11" s="117">
        <v>3472000</v>
      </c>
      <c r="AN11" s="113"/>
      <c r="AO11" s="113"/>
      <c r="AP11" s="113"/>
      <c r="AQ11" s="121"/>
      <c r="AR11" s="436">
        <v>2162000</v>
      </c>
      <c r="AS11" s="437">
        <v>4000000</v>
      </c>
      <c r="AT11" s="437"/>
      <c r="AU11" s="437"/>
      <c r="AV11" s="437"/>
      <c r="AW11" s="92"/>
    </row>
    <row r="12" spans="1:49" ht="35.25" customHeight="1">
      <c r="A12" s="1"/>
      <c r="B12" s="625">
        <v>9</v>
      </c>
      <c r="C12" s="6" t="s">
        <v>20</v>
      </c>
      <c r="D12" s="371" t="s">
        <v>7</v>
      </c>
      <c r="E12" s="18" t="s">
        <v>1110</v>
      </c>
      <c r="F12" s="20" t="s">
        <v>1197</v>
      </c>
      <c r="G12" s="20" t="s">
        <v>1111</v>
      </c>
      <c r="H12" s="603">
        <v>870000</v>
      </c>
      <c r="I12" s="50">
        <v>1</v>
      </c>
      <c r="J12" s="55">
        <v>0</v>
      </c>
      <c r="K12" s="49"/>
      <c r="L12" s="56"/>
      <c r="M12" s="61">
        <v>6</v>
      </c>
      <c r="N12" s="62">
        <v>4</v>
      </c>
      <c r="O12" s="62">
        <v>6</v>
      </c>
      <c r="P12" s="62">
        <v>7</v>
      </c>
      <c r="Q12" s="62">
        <v>9.9999999999999982</v>
      </c>
      <c r="R12" s="62">
        <v>1</v>
      </c>
      <c r="S12" s="62">
        <v>2</v>
      </c>
      <c r="T12" s="63">
        <v>7</v>
      </c>
      <c r="U12" s="66" t="e">
        <f t="shared" ca="1" si="0"/>
        <v>#DIV/0!</v>
      </c>
      <c r="V12" s="66">
        <f t="shared" ca="1" si="1"/>
        <v>0</v>
      </c>
      <c r="W12" s="70">
        <f t="shared" si="2"/>
        <v>0.94736842105263153</v>
      </c>
      <c r="X12" s="70">
        <f t="shared" si="3"/>
        <v>0.42105263157894735</v>
      </c>
      <c r="Y12" s="70">
        <f t="shared" si="4"/>
        <v>0.84210526315789469</v>
      </c>
      <c r="Z12" s="70">
        <f t="shared" si="5"/>
        <v>1.2280701754385965</v>
      </c>
      <c r="AA12" s="70">
        <f t="shared" si="6"/>
        <v>0.87719298245614019</v>
      </c>
      <c r="AB12" s="70">
        <f t="shared" si="7"/>
        <v>0.12280701754385964</v>
      </c>
      <c r="AC12" s="70">
        <f t="shared" si="8"/>
        <v>0.21052631578947367</v>
      </c>
      <c r="AD12" s="71">
        <f t="shared" si="9"/>
        <v>0.73684210526315785</v>
      </c>
      <c r="AE12" s="72">
        <f t="shared" si="10"/>
        <v>0.9</v>
      </c>
      <c r="AF12" s="72">
        <f t="shared" ca="1" si="11"/>
        <v>1</v>
      </c>
      <c r="AG12" s="73">
        <f t="shared" ca="1" si="12"/>
        <v>0.93333333333333324</v>
      </c>
      <c r="AH12" s="456">
        <f t="shared" si="13"/>
        <v>5.3859649122807012</v>
      </c>
      <c r="AI12" s="467">
        <f t="shared" ca="1" si="14"/>
        <v>50.26900584795321</v>
      </c>
      <c r="AJ12" s="458" t="str">
        <f t="shared" ca="1" si="15"/>
        <v>Q2</v>
      </c>
      <c r="AK12" s="95" t="s">
        <v>360</v>
      </c>
      <c r="AL12" s="685">
        <v>259590</v>
      </c>
      <c r="AM12" s="121">
        <v>610000</v>
      </c>
      <c r="AN12" s="113"/>
      <c r="AO12" s="123"/>
      <c r="AP12" s="113"/>
      <c r="AQ12" s="121"/>
      <c r="AR12" s="436">
        <v>610410</v>
      </c>
      <c r="AS12" s="437"/>
      <c r="AT12" s="437"/>
      <c r="AU12" s="437"/>
      <c r="AV12" s="437"/>
      <c r="AW12" s="92"/>
    </row>
    <row r="13" spans="1:49" ht="35.25" customHeight="1">
      <c r="A13" s="489">
        <v>36</v>
      </c>
      <c r="B13" s="625">
        <v>10</v>
      </c>
      <c r="C13" s="425" t="s">
        <v>6</v>
      </c>
      <c r="D13" s="426" t="s">
        <v>7</v>
      </c>
      <c r="E13" s="3" t="s">
        <v>1176</v>
      </c>
      <c r="F13" s="4" t="s">
        <v>1498</v>
      </c>
      <c r="G13" s="4"/>
      <c r="H13" s="611">
        <v>45000000</v>
      </c>
      <c r="I13" s="376">
        <v>2</v>
      </c>
      <c r="J13" s="490">
        <v>0.1</v>
      </c>
      <c r="K13" s="376"/>
      <c r="L13" s="491"/>
      <c r="M13" s="429">
        <v>7.0000000000000044</v>
      </c>
      <c r="N13" s="430">
        <v>8.0000000000000053</v>
      </c>
      <c r="O13" s="430">
        <v>4.0000000000000027</v>
      </c>
      <c r="P13" s="430">
        <v>6.0000000000000036</v>
      </c>
      <c r="Q13" s="430">
        <v>1</v>
      </c>
      <c r="R13" s="430">
        <v>8</v>
      </c>
      <c r="S13" s="430">
        <v>5</v>
      </c>
      <c r="T13" s="431">
        <v>8.0000000000000053</v>
      </c>
      <c r="U13" s="650" t="e">
        <f t="shared" ca="1" si="0"/>
        <v>#DIV/0!</v>
      </c>
      <c r="V13" s="650">
        <f t="shared" ca="1" si="1"/>
        <v>0.1</v>
      </c>
      <c r="W13" s="651">
        <f t="shared" si="2"/>
        <v>1.1052631578947376</v>
      </c>
      <c r="X13" s="651">
        <f t="shared" si="3"/>
        <v>0.84210526315789525</v>
      </c>
      <c r="Y13" s="651">
        <f t="shared" si="4"/>
        <v>0.56140350877193024</v>
      </c>
      <c r="Z13" s="651">
        <f t="shared" si="5"/>
        <v>1.052631578947369</v>
      </c>
      <c r="AA13" s="651">
        <f t="shared" si="6"/>
        <v>8.771929824561403E-2</v>
      </c>
      <c r="AB13" s="651">
        <f t="shared" si="7"/>
        <v>0.98245614035087714</v>
      </c>
      <c r="AC13" s="651">
        <f t="shared" si="8"/>
        <v>0.52631578947368418</v>
      </c>
      <c r="AD13" s="652">
        <f t="shared" si="9"/>
        <v>0.84210526315789525</v>
      </c>
      <c r="AE13" s="653">
        <f t="shared" si="10"/>
        <v>0.8</v>
      </c>
      <c r="AF13" s="653">
        <f t="shared" ca="1" si="11"/>
        <v>0.9</v>
      </c>
      <c r="AG13" s="589">
        <f t="shared" ca="1" si="12"/>
        <v>0.83333333333333337</v>
      </c>
      <c r="AH13" s="654">
        <f t="shared" si="13"/>
        <v>6.0000000000000027</v>
      </c>
      <c r="AI13" s="466">
        <f t="shared" ca="1" si="14"/>
        <v>50.000000000000028</v>
      </c>
      <c r="AJ13" s="458" t="str">
        <f t="shared" ca="1" si="15"/>
        <v>Q2</v>
      </c>
      <c r="AK13" s="91" t="s">
        <v>411</v>
      </c>
      <c r="AL13" s="571"/>
      <c r="AM13" s="117">
        <v>750000</v>
      </c>
      <c r="AN13" s="113"/>
      <c r="AO13" s="113">
        <v>14002660.5</v>
      </c>
      <c r="AP13" s="113">
        <v>20293711</v>
      </c>
      <c r="AQ13" s="121"/>
      <c r="AR13" s="436">
        <f>AM13</f>
        <v>750000</v>
      </c>
      <c r="AS13" s="437">
        <v>2500000</v>
      </c>
      <c r="AT13" s="437">
        <v>2500000</v>
      </c>
      <c r="AU13" s="437">
        <v>20000000</v>
      </c>
      <c r="AV13" s="437">
        <f>H13-AR13-AS13-AT13-AU13</f>
        <v>19250000</v>
      </c>
      <c r="AW13" s="92"/>
    </row>
    <row r="14" spans="1:49" ht="35.25" customHeight="1">
      <c r="A14" s="1">
        <v>16</v>
      </c>
      <c r="B14" s="625">
        <v>14</v>
      </c>
      <c r="C14" s="425" t="s">
        <v>8</v>
      </c>
      <c r="D14" s="426" t="s">
        <v>7</v>
      </c>
      <c r="E14" s="3" t="s">
        <v>438</v>
      </c>
      <c r="F14" s="4" t="s">
        <v>1336</v>
      </c>
      <c r="G14" s="4"/>
      <c r="H14" s="599">
        <v>2000000</v>
      </c>
      <c r="I14" s="376">
        <v>3</v>
      </c>
      <c r="J14" s="377">
        <v>0.2</v>
      </c>
      <c r="K14" s="376"/>
      <c r="L14" s="378"/>
      <c r="M14" s="61">
        <v>6</v>
      </c>
      <c r="N14" s="62">
        <v>8</v>
      </c>
      <c r="O14" s="62">
        <v>8</v>
      </c>
      <c r="P14" s="62">
        <v>4.0000000000000027</v>
      </c>
      <c r="Q14" s="62">
        <v>0</v>
      </c>
      <c r="R14" s="62">
        <v>8.0000000000000053</v>
      </c>
      <c r="S14" s="62">
        <v>10</v>
      </c>
      <c r="T14" s="63">
        <v>9.9999999999999982</v>
      </c>
      <c r="U14" s="379" t="e">
        <f t="shared" ca="1" si="0"/>
        <v>#DIV/0!</v>
      </c>
      <c r="V14" s="379">
        <f t="shared" ca="1" si="1"/>
        <v>0.2</v>
      </c>
      <c r="W14" s="70">
        <f t="shared" si="2"/>
        <v>0.94736842105263153</v>
      </c>
      <c r="X14" s="70">
        <f t="shared" si="3"/>
        <v>0.84210526315789469</v>
      </c>
      <c r="Y14" s="70">
        <f t="shared" si="4"/>
        <v>1.1228070175438596</v>
      </c>
      <c r="Z14" s="70">
        <f t="shared" si="5"/>
        <v>0.7017543859649128</v>
      </c>
      <c r="AA14" s="70">
        <f t="shared" si="6"/>
        <v>0</v>
      </c>
      <c r="AB14" s="70">
        <f t="shared" si="7"/>
        <v>0.9824561403508778</v>
      </c>
      <c r="AC14" s="70">
        <f t="shared" si="8"/>
        <v>1.0526315789473684</v>
      </c>
      <c r="AD14" s="71">
        <f t="shared" si="9"/>
        <v>1.0526315789473681</v>
      </c>
      <c r="AE14" s="72">
        <f t="shared" si="10"/>
        <v>0.7</v>
      </c>
      <c r="AF14" s="72">
        <f t="shared" ca="1" si="11"/>
        <v>0.8</v>
      </c>
      <c r="AG14" s="73">
        <f t="shared" ca="1" si="12"/>
        <v>0.73333333333333339</v>
      </c>
      <c r="AH14" s="455">
        <f t="shared" si="13"/>
        <v>6.7017543859649127</v>
      </c>
      <c r="AI14" s="466">
        <f t="shared" ca="1" si="14"/>
        <v>49.146198830409361</v>
      </c>
      <c r="AJ14" s="458" t="str">
        <f t="shared" ca="1" si="15"/>
        <v>Q3</v>
      </c>
      <c r="AK14" s="91" t="s">
        <v>360</v>
      </c>
      <c r="AL14" s="671">
        <v>500000</v>
      </c>
      <c r="AM14" s="117">
        <v>600000</v>
      </c>
      <c r="AN14" s="113">
        <v>1000000</v>
      </c>
      <c r="AO14" s="113"/>
      <c r="AP14" s="113"/>
      <c r="AQ14" s="121"/>
      <c r="AR14" s="436">
        <v>500000</v>
      </c>
      <c r="AS14" s="437">
        <v>500000</v>
      </c>
      <c r="AT14" s="437">
        <v>500000</v>
      </c>
      <c r="AU14" s="437"/>
      <c r="AV14" s="437"/>
      <c r="AW14" s="92"/>
    </row>
    <row r="15" spans="1:49" ht="35.25" customHeight="1">
      <c r="A15" s="1">
        <v>60</v>
      </c>
      <c r="B15" s="625">
        <v>15</v>
      </c>
      <c r="C15" s="2" t="s">
        <v>32</v>
      </c>
      <c r="D15" s="370" t="s">
        <v>7</v>
      </c>
      <c r="E15" s="374" t="s">
        <v>33</v>
      </c>
      <c r="F15" s="375" t="s">
        <v>1499</v>
      </c>
      <c r="G15" s="375" t="s">
        <v>34</v>
      </c>
      <c r="H15" s="601">
        <v>188000</v>
      </c>
      <c r="I15" s="380">
        <v>2</v>
      </c>
      <c r="J15" s="377">
        <v>0.1</v>
      </c>
      <c r="K15" s="376"/>
      <c r="L15" s="378"/>
      <c r="M15" s="61">
        <v>6.0000000000000036</v>
      </c>
      <c r="N15" s="62">
        <v>8.0000000000000053</v>
      </c>
      <c r="O15" s="62">
        <v>4</v>
      </c>
      <c r="P15" s="62">
        <v>6</v>
      </c>
      <c r="Q15" s="62">
        <v>3</v>
      </c>
      <c r="R15" s="62">
        <v>7.0000000000000044</v>
      </c>
      <c r="S15" s="62">
        <v>5</v>
      </c>
      <c r="T15" s="63">
        <v>8</v>
      </c>
      <c r="U15" s="379" t="e">
        <f t="shared" ca="1" si="0"/>
        <v>#DIV/0!</v>
      </c>
      <c r="V15" s="379">
        <f t="shared" ca="1" si="1"/>
        <v>0.1</v>
      </c>
      <c r="W15" s="70">
        <f t="shared" si="2"/>
        <v>0.94736842105263208</v>
      </c>
      <c r="X15" s="70">
        <f t="shared" si="3"/>
        <v>0.84210526315789525</v>
      </c>
      <c r="Y15" s="70">
        <f t="shared" si="4"/>
        <v>0.56140350877192979</v>
      </c>
      <c r="Z15" s="70">
        <f t="shared" si="5"/>
        <v>1.0526315789473684</v>
      </c>
      <c r="AA15" s="70">
        <f t="shared" si="6"/>
        <v>0.26315789473684209</v>
      </c>
      <c r="AB15" s="70">
        <f t="shared" si="7"/>
        <v>0.859649122807018</v>
      </c>
      <c r="AC15" s="70">
        <f t="shared" si="8"/>
        <v>0.52631578947368418</v>
      </c>
      <c r="AD15" s="71">
        <f t="shared" si="9"/>
        <v>0.84210526315789469</v>
      </c>
      <c r="AE15" s="72">
        <f t="shared" si="10"/>
        <v>0.8</v>
      </c>
      <c r="AF15" s="72">
        <f t="shared" ca="1" si="11"/>
        <v>0.9</v>
      </c>
      <c r="AG15" s="73">
        <f t="shared" ca="1" si="12"/>
        <v>0.83333333333333337</v>
      </c>
      <c r="AH15" s="455">
        <f t="shared" si="13"/>
        <v>5.8947368421052637</v>
      </c>
      <c r="AI15" s="466">
        <f t="shared" ca="1" si="14"/>
        <v>49.12280701754387</v>
      </c>
      <c r="AJ15" s="458" t="str">
        <f t="shared" ca="1" si="15"/>
        <v>Q2</v>
      </c>
      <c r="AK15" s="373" t="s">
        <v>360</v>
      </c>
      <c r="AL15" s="572"/>
      <c r="AM15" s="117">
        <v>188000</v>
      </c>
      <c r="AN15" s="113"/>
      <c r="AO15" s="113"/>
      <c r="AP15" s="113"/>
      <c r="AQ15" s="121"/>
      <c r="AR15" s="436">
        <f t="shared" ref="AR15:AR20" si="16">AM15</f>
        <v>188000</v>
      </c>
      <c r="AS15" s="437"/>
      <c r="AT15" s="437"/>
      <c r="AU15" s="437"/>
      <c r="AV15" s="437"/>
      <c r="AW15" s="92"/>
    </row>
    <row r="16" spans="1:49" ht="36" customHeight="1">
      <c r="A16" s="1">
        <v>41</v>
      </c>
      <c r="B16" s="625">
        <v>18</v>
      </c>
      <c r="C16" s="2" t="s">
        <v>18</v>
      </c>
      <c r="D16" s="370" t="s">
        <v>7</v>
      </c>
      <c r="E16" s="374" t="s">
        <v>95</v>
      </c>
      <c r="F16" s="375" t="s">
        <v>1326</v>
      </c>
      <c r="G16" s="375" t="s">
        <v>96</v>
      </c>
      <c r="H16" s="601">
        <v>300000</v>
      </c>
      <c r="I16" s="380">
        <v>1</v>
      </c>
      <c r="J16" s="377">
        <v>0.1</v>
      </c>
      <c r="K16" s="376"/>
      <c r="L16" s="378"/>
      <c r="M16" s="61">
        <v>4</v>
      </c>
      <c r="N16" s="62">
        <v>8.0000000000000053</v>
      </c>
      <c r="O16" s="62">
        <v>2</v>
      </c>
      <c r="P16" s="62">
        <v>10</v>
      </c>
      <c r="Q16" s="62">
        <v>0</v>
      </c>
      <c r="R16" s="62">
        <v>8.0000000000000053</v>
      </c>
      <c r="S16" s="62">
        <v>0</v>
      </c>
      <c r="T16" s="63">
        <v>9</v>
      </c>
      <c r="U16" s="379" t="e">
        <f t="shared" ca="1" si="0"/>
        <v>#DIV/0!</v>
      </c>
      <c r="V16" s="379">
        <f t="shared" ca="1" si="1"/>
        <v>0.1</v>
      </c>
      <c r="W16" s="70">
        <f t="shared" si="2"/>
        <v>0.63157894736842102</v>
      </c>
      <c r="X16" s="70">
        <f t="shared" si="3"/>
        <v>0.84210526315789525</v>
      </c>
      <c r="Y16" s="70">
        <f t="shared" si="4"/>
        <v>0.2807017543859649</v>
      </c>
      <c r="Z16" s="70">
        <f t="shared" si="5"/>
        <v>1.7543859649122806</v>
      </c>
      <c r="AA16" s="70">
        <f t="shared" si="6"/>
        <v>0</v>
      </c>
      <c r="AB16" s="70">
        <f t="shared" si="7"/>
        <v>0.9824561403508778</v>
      </c>
      <c r="AC16" s="70">
        <f t="shared" si="8"/>
        <v>0</v>
      </c>
      <c r="AD16" s="71">
        <f t="shared" si="9"/>
        <v>0.94736842105263153</v>
      </c>
      <c r="AE16" s="72">
        <f t="shared" si="10"/>
        <v>0.9</v>
      </c>
      <c r="AF16" s="72">
        <f t="shared" ca="1" si="11"/>
        <v>0.9</v>
      </c>
      <c r="AG16" s="73">
        <f t="shared" ca="1" si="12"/>
        <v>0.9</v>
      </c>
      <c r="AH16" s="455">
        <f t="shared" si="13"/>
        <v>5.4385964912280711</v>
      </c>
      <c r="AI16" s="466">
        <f t="shared" ca="1" si="14"/>
        <v>48.947368421052637</v>
      </c>
      <c r="AJ16" s="458" t="str">
        <f t="shared" ca="1" si="15"/>
        <v>Q2</v>
      </c>
      <c r="AK16" s="373" t="s">
        <v>360</v>
      </c>
      <c r="AL16" s="664">
        <v>25000</v>
      </c>
      <c r="AM16" s="117">
        <v>275000</v>
      </c>
      <c r="AN16" s="113"/>
      <c r="AO16" s="113"/>
      <c r="AP16" s="113"/>
      <c r="AQ16" s="121"/>
      <c r="AR16" s="436">
        <f t="shared" si="16"/>
        <v>275000</v>
      </c>
      <c r="AS16" s="437"/>
      <c r="AT16" s="437"/>
      <c r="AU16" s="437"/>
      <c r="AV16" s="437"/>
      <c r="AW16" s="92"/>
    </row>
    <row r="17" spans="1:49" ht="35.25" customHeight="1">
      <c r="A17" s="1">
        <v>19</v>
      </c>
      <c r="B17" s="625">
        <v>19</v>
      </c>
      <c r="C17" s="2" t="s">
        <v>6</v>
      </c>
      <c r="D17" s="370" t="s">
        <v>7</v>
      </c>
      <c r="E17" s="3" t="s">
        <v>1097</v>
      </c>
      <c r="F17" s="9" t="s">
        <v>1178</v>
      </c>
      <c r="G17" s="722"/>
      <c r="H17" s="596">
        <v>200000</v>
      </c>
      <c r="I17" s="376">
        <v>1</v>
      </c>
      <c r="J17" s="377">
        <v>0.1</v>
      </c>
      <c r="K17" s="376"/>
      <c r="L17" s="378"/>
      <c r="M17" s="61">
        <v>4</v>
      </c>
      <c r="N17" s="62">
        <v>8</v>
      </c>
      <c r="O17" s="62">
        <v>2</v>
      </c>
      <c r="P17" s="62">
        <v>10</v>
      </c>
      <c r="Q17" s="62">
        <v>0</v>
      </c>
      <c r="R17" s="62">
        <v>8</v>
      </c>
      <c r="S17" s="62">
        <v>0</v>
      </c>
      <c r="T17" s="63">
        <v>9</v>
      </c>
      <c r="U17" s="379" t="e">
        <f t="shared" ca="1" si="0"/>
        <v>#DIV/0!</v>
      </c>
      <c r="V17" s="379">
        <f t="shared" ca="1" si="1"/>
        <v>0.1</v>
      </c>
      <c r="W17" s="70">
        <f t="shared" si="2"/>
        <v>0.63157894736842102</v>
      </c>
      <c r="X17" s="70">
        <f t="shared" si="3"/>
        <v>0.84210526315789469</v>
      </c>
      <c r="Y17" s="70">
        <f t="shared" si="4"/>
        <v>0.2807017543859649</v>
      </c>
      <c r="Z17" s="70">
        <f t="shared" si="5"/>
        <v>1.7543859649122806</v>
      </c>
      <c r="AA17" s="70">
        <f t="shared" si="6"/>
        <v>0</v>
      </c>
      <c r="AB17" s="70">
        <f t="shared" si="7"/>
        <v>0.98245614035087714</v>
      </c>
      <c r="AC17" s="70">
        <f t="shared" si="8"/>
        <v>0</v>
      </c>
      <c r="AD17" s="71">
        <f t="shared" si="9"/>
        <v>0.94736842105263153</v>
      </c>
      <c r="AE17" s="72">
        <f t="shared" si="10"/>
        <v>0.9</v>
      </c>
      <c r="AF17" s="72">
        <f t="shared" ca="1" si="11"/>
        <v>0.9</v>
      </c>
      <c r="AG17" s="73">
        <f t="shared" ca="1" si="12"/>
        <v>0.9</v>
      </c>
      <c r="AH17" s="455">
        <f t="shared" si="13"/>
        <v>5.4385964912280702</v>
      </c>
      <c r="AI17" s="466">
        <f t="shared" ca="1" si="14"/>
        <v>48.947368421052637</v>
      </c>
      <c r="AJ17" s="458" t="str">
        <f t="shared" ca="1" si="15"/>
        <v>Q2</v>
      </c>
      <c r="AK17" s="91" t="s">
        <v>360</v>
      </c>
      <c r="AL17" s="110"/>
      <c r="AM17" s="117">
        <v>200000</v>
      </c>
      <c r="AN17" s="113"/>
      <c r="AO17" s="113"/>
      <c r="AP17" s="113"/>
      <c r="AQ17" s="121"/>
      <c r="AR17" s="436">
        <f t="shared" si="16"/>
        <v>200000</v>
      </c>
      <c r="AS17" s="437"/>
      <c r="AT17" s="437"/>
      <c r="AU17" s="437"/>
      <c r="AV17" s="437"/>
      <c r="AW17" s="92"/>
    </row>
    <row r="18" spans="1:49" ht="38.25" customHeight="1">
      <c r="A18" s="5">
        <v>174</v>
      </c>
      <c r="B18" s="625">
        <v>21</v>
      </c>
      <c r="C18" s="669" t="s">
        <v>20</v>
      </c>
      <c r="D18" s="665"/>
      <c r="E18" s="10" t="s">
        <v>1535</v>
      </c>
      <c r="F18" s="17" t="s">
        <v>1554</v>
      </c>
      <c r="G18" s="723"/>
      <c r="H18" s="684">
        <v>1600000</v>
      </c>
      <c r="I18" s="50">
        <v>3</v>
      </c>
      <c r="J18" s="55">
        <v>0.4</v>
      </c>
      <c r="K18" s="49"/>
      <c r="L18" s="56"/>
      <c r="M18" s="61">
        <v>7</v>
      </c>
      <c r="N18" s="62">
        <v>3</v>
      </c>
      <c r="O18" s="62">
        <v>9</v>
      </c>
      <c r="P18" s="62">
        <v>7</v>
      </c>
      <c r="Q18" s="62">
        <v>6</v>
      </c>
      <c r="R18" s="62">
        <v>7</v>
      </c>
      <c r="S18" s="62">
        <v>10</v>
      </c>
      <c r="T18" s="63">
        <v>9</v>
      </c>
      <c r="U18" s="66" t="e">
        <f t="shared" ca="1" si="0"/>
        <v>#DIV/0!</v>
      </c>
      <c r="V18" s="66">
        <f t="shared" ca="1" si="1"/>
        <v>0.4</v>
      </c>
      <c r="W18" s="70">
        <f t="shared" si="2"/>
        <v>1.1052631578947369</v>
      </c>
      <c r="X18" s="70">
        <f t="shared" si="3"/>
        <v>0.31578947368421051</v>
      </c>
      <c r="Y18" s="70">
        <f t="shared" si="4"/>
        <v>1.263157894736842</v>
      </c>
      <c r="Z18" s="70">
        <f t="shared" si="5"/>
        <v>1.2280701754385965</v>
      </c>
      <c r="AA18" s="70">
        <f t="shared" si="6"/>
        <v>0.52631578947368418</v>
      </c>
      <c r="AB18" s="70">
        <f t="shared" si="7"/>
        <v>0.85964912280701755</v>
      </c>
      <c r="AC18" s="70">
        <f t="shared" si="8"/>
        <v>1.0526315789473684</v>
      </c>
      <c r="AD18" s="71">
        <f t="shared" si="9"/>
        <v>0.94736842105263153</v>
      </c>
      <c r="AE18" s="72">
        <f t="shared" si="10"/>
        <v>0.7</v>
      </c>
      <c r="AF18" s="72">
        <f t="shared" ca="1" si="11"/>
        <v>0.6</v>
      </c>
      <c r="AG18" s="73">
        <f t="shared" ca="1" si="12"/>
        <v>0.66666666666666663</v>
      </c>
      <c r="AH18" s="456">
        <f t="shared" si="13"/>
        <v>7.2982456140350873</v>
      </c>
      <c r="AI18" s="467">
        <f t="shared" ca="1" si="14"/>
        <v>48.654970760233915</v>
      </c>
      <c r="AJ18" s="458" t="str">
        <f t="shared" ca="1" si="15"/>
        <v>Q3</v>
      </c>
      <c r="AK18" s="95" t="s">
        <v>360</v>
      </c>
      <c r="AL18" s="663">
        <v>25000</v>
      </c>
      <c r="AM18" s="117">
        <v>1575000</v>
      </c>
      <c r="AN18" s="113"/>
      <c r="AO18" s="113"/>
      <c r="AP18" s="121"/>
      <c r="AQ18" s="121"/>
      <c r="AR18" s="436">
        <f t="shared" si="16"/>
        <v>1575000</v>
      </c>
      <c r="AS18" s="437"/>
      <c r="AT18" s="437"/>
      <c r="AU18" s="437"/>
      <c r="AV18" s="437"/>
      <c r="AW18" s="94"/>
    </row>
    <row r="19" spans="1:49" ht="37.5" customHeight="1">
      <c r="A19" s="5">
        <v>72</v>
      </c>
      <c r="B19" s="625">
        <v>22</v>
      </c>
      <c r="C19" s="6" t="s">
        <v>18</v>
      </c>
      <c r="D19" s="371" t="s">
        <v>416</v>
      </c>
      <c r="E19" s="18" t="s">
        <v>451</v>
      </c>
      <c r="F19" s="19" t="s">
        <v>1127</v>
      </c>
      <c r="G19" s="20"/>
      <c r="H19" s="603">
        <v>100000</v>
      </c>
      <c r="I19" s="50">
        <v>2</v>
      </c>
      <c r="J19" s="55">
        <v>0</v>
      </c>
      <c r="K19" s="49"/>
      <c r="L19" s="56"/>
      <c r="M19" s="61">
        <v>5</v>
      </c>
      <c r="N19" s="62">
        <v>8</v>
      </c>
      <c r="O19" s="62">
        <v>3</v>
      </c>
      <c r="P19" s="62">
        <v>8</v>
      </c>
      <c r="Q19" s="62">
        <v>0</v>
      </c>
      <c r="R19" s="62">
        <v>9</v>
      </c>
      <c r="S19" s="62">
        <v>0</v>
      </c>
      <c r="T19" s="63">
        <v>10</v>
      </c>
      <c r="U19" s="66" t="e">
        <f t="shared" ca="1" si="0"/>
        <v>#DIV/0!</v>
      </c>
      <c r="V19" s="66">
        <f t="shared" ca="1" si="1"/>
        <v>0</v>
      </c>
      <c r="W19" s="70">
        <f t="shared" si="2"/>
        <v>0.78947368421052633</v>
      </c>
      <c r="X19" s="70">
        <f t="shared" si="3"/>
        <v>0.84210526315789469</v>
      </c>
      <c r="Y19" s="70">
        <f t="shared" si="4"/>
        <v>0.42105263157894735</v>
      </c>
      <c r="Z19" s="70">
        <f t="shared" si="5"/>
        <v>1.4035087719298245</v>
      </c>
      <c r="AA19" s="70">
        <f t="shared" si="6"/>
        <v>0</v>
      </c>
      <c r="AB19" s="70">
        <f t="shared" si="7"/>
        <v>1.1052631578947369</v>
      </c>
      <c r="AC19" s="70">
        <f t="shared" si="8"/>
        <v>0</v>
      </c>
      <c r="AD19" s="71">
        <f t="shared" si="9"/>
        <v>1.0526315789473684</v>
      </c>
      <c r="AE19" s="72">
        <f t="shared" si="10"/>
        <v>0.8</v>
      </c>
      <c r="AF19" s="72">
        <f t="shared" ca="1" si="11"/>
        <v>1</v>
      </c>
      <c r="AG19" s="73">
        <f t="shared" ca="1" si="12"/>
        <v>0.8666666666666667</v>
      </c>
      <c r="AH19" s="456">
        <f t="shared" si="13"/>
        <v>5.6140350877192979</v>
      </c>
      <c r="AI19" s="467">
        <f t="shared" ca="1" si="14"/>
        <v>48.654970760233915</v>
      </c>
      <c r="AJ19" s="458" t="str">
        <f t="shared" ca="1" si="15"/>
        <v>Q2</v>
      </c>
      <c r="AK19" s="95" t="s">
        <v>360</v>
      </c>
      <c r="AL19" s="573"/>
      <c r="AM19" s="117">
        <v>100000</v>
      </c>
      <c r="AN19" s="113"/>
      <c r="AO19" s="113"/>
      <c r="AP19" s="113"/>
      <c r="AQ19" s="121"/>
      <c r="AR19" s="436">
        <f t="shared" si="16"/>
        <v>100000</v>
      </c>
      <c r="AS19" s="437"/>
      <c r="AT19" s="437"/>
      <c r="AU19" s="437"/>
      <c r="AV19" s="437"/>
      <c r="AW19" s="94"/>
    </row>
    <row r="20" spans="1:49" ht="36" customHeight="1">
      <c r="A20" s="5">
        <v>39</v>
      </c>
      <c r="B20" s="625">
        <v>24</v>
      </c>
      <c r="C20" s="6" t="s">
        <v>20</v>
      </c>
      <c r="D20" s="371" t="s">
        <v>418</v>
      </c>
      <c r="E20" s="21" t="s">
        <v>21</v>
      </c>
      <c r="F20" s="13" t="s">
        <v>1500</v>
      </c>
      <c r="G20" s="128" t="s">
        <v>22</v>
      </c>
      <c r="H20" s="603">
        <v>172000</v>
      </c>
      <c r="I20" s="50">
        <v>1</v>
      </c>
      <c r="J20" s="55">
        <v>0</v>
      </c>
      <c r="K20" s="49"/>
      <c r="L20" s="56"/>
      <c r="M20" s="61">
        <v>6</v>
      </c>
      <c r="N20" s="62">
        <v>8</v>
      </c>
      <c r="O20" s="62">
        <v>6.0000000000000036</v>
      </c>
      <c r="P20" s="62">
        <v>5</v>
      </c>
      <c r="Q20" s="62">
        <v>0</v>
      </c>
      <c r="R20" s="62">
        <v>7</v>
      </c>
      <c r="S20" s="62">
        <v>0</v>
      </c>
      <c r="T20" s="63">
        <v>8.0000000000000053</v>
      </c>
      <c r="U20" s="66" t="e">
        <f t="shared" ca="1" si="0"/>
        <v>#DIV/0!</v>
      </c>
      <c r="V20" s="66">
        <f t="shared" ca="1" si="1"/>
        <v>0</v>
      </c>
      <c r="W20" s="70">
        <f t="shared" si="2"/>
        <v>0.94736842105263153</v>
      </c>
      <c r="X20" s="70">
        <f t="shared" si="3"/>
        <v>0.84210526315789469</v>
      </c>
      <c r="Y20" s="70">
        <f t="shared" si="4"/>
        <v>0.84210526315789525</v>
      </c>
      <c r="Z20" s="70">
        <f t="shared" si="5"/>
        <v>0.8771929824561403</v>
      </c>
      <c r="AA20" s="70">
        <f t="shared" si="6"/>
        <v>0</v>
      </c>
      <c r="AB20" s="70">
        <f t="shared" si="7"/>
        <v>0.85964912280701755</v>
      </c>
      <c r="AC20" s="70">
        <f t="shared" si="8"/>
        <v>0</v>
      </c>
      <c r="AD20" s="71">
        <f t="shared" si="9"/>
        <v>0.84210526315789525</v>
      </c>
      <c r="AE20" s="72">
        <f t="shared" si="10"/>
        <v>0.9</v>
      </c>
      <c r="AF20" s="72">
        <f t="shared" ca="1" si="11"/>
        <v>1</v>
      </c>
      <c r="AG20" s="73">
        <f t="shared" ca="1" si="12"/>
        <v>0.93333333333333324</v>
      </c>
      <c r="AH20" s="456">
        <f t="shared" si="13"/>
        <v>5.2105263157894743</v>
      </c>
      <c r="AI20" s="467">
        <f t="shared" ca="1" si="14"/>
        <v>48.631578947368425</v>
      </c>
      <c r="AJ20" s="458" t="str">
        <f t="shared" ca="1" si="15"/>
        <v>Q2</v>
      </c>
      <c r="AK20" s="95" t="s">
        <v>360</v>
      </c>
      <c r="AL20" s="572"/>
      <c r="AM20" s="117">
        <v>172000</v>
      </c>
      <c r="AN20" s="113"/>
      <c r="AO20" s="113"/>
      <c r="AP20" s="113"/>
      <c r="AQ20" s="121"/>
      <c r="AR20" s="436">
        <f t="shared" si="16"/>
        <v>172000</v>
      </c>
      <c r="AS20" s="437"/>
      <c r="AT20" s="437"/>
      <c r="AU20" s="437"/>
      <c r="AV20" s="437"/>
      <c r="AW20" s="94"/>
    </row>
    <row r="21" spans="1:49" ht="36" customHeight="1">
      <c r="A21" s="5"/>
      <c r="B21" s="625">
        <v>29</v>
      </c>
      <c r="C21" s="6" t="s">
        <v>6</v>
      </c>
      <c r="D21" s="371" t="s">
        <v>7</v>
      </c>
      <c r="E21" s="7" t="s">
        <v>1177</v>
      </c>
      <c r="F21" s="8" t="s">
        <v>1501</v>
      </c>
      <c r="G21" s="8"/>
      <c r="H21" s="600">
        <v>40000000</v>
      </c>
      <c r="I21" s="49">
        <v>3</v>
      </c>
      <c r="J21" s="55">
        <v>0</v>
      </c>
      <c r="K21" s="49"/>
      <c r="L21" s="56"/>
      <c r="M21" s="61">
        <v>8</v>
      </c>
      <c r="N21" s="62">
        <v>10</v>
      </c>
      <c r="O21" s="62">
        <v>4</v>
      </c>
      <c r="P21" s="62">
        <v>4</v>
      </c>
      <c r="Q21" s="62">
        <v>0</v>
      </c>
      <c r="R21" s="62">
        <v>10</v>
      </c>
      <c r="S21" s="62">
        <v>2</v>
      </c>
      <c r="T21" s="63">
        <v>10</v>
      </c>
      <c r="U21" s="66" t="e">
        <f t="shared" ca="1" si="0"/>
        <v>#DIV/0!</v>
      </c>
      <c r="V21" s="66">
        <f t="shared" ca="1" si="1"/>
        <v>0</v>
      </c>
      <c r="W21" s="70">
        <f t="shared" si="2"/>
        <v>1.263157894736842</v>
      </c>
      <c r="X21" s="70">
        <f t="shared" si="3"/>
        <v>1.0526315789473684</v>
      </c>
      <c r="Y21" s="70">
        <f t="shared" si="4"/>
        <v>0.56140350877192979</v>
      </c>
      <c r="Z21" s="70">
        <f t="shared" si="5"/>
        <v>0.70175438596491224</v>
      </c>
      <c r="AA21" s="70">
        <f t="shared" si="6"/>
        <v>0</v>
      </c>
      <c r="AB21" s="70">
        <f t="shared" si="7"/>
        <v>1.2280701754385965</v>
      </c>
      <c r="AC21" s="70">
        <f t="shared" si="8"/>
        <v>0.21052631578947367</v>
      </c>
      <c r="AD21" s="71">
        <f t="shared" si="9"/>
        <v>1.0526315789473684</v>
      </c>
      <c r="AE21" s="72">
        <f t="shared" si="10"/>
        <v>0.7</v>
      </c>
      <c r="AF21" s="72">
        <f t="shared" ca="1" si="11"/>
        <v>1</v>
      </c>
      <c r="AG21" s="73">
        <f t="shared" ca="1" si="12"/>
        <v>0.79999999999999993</v>
      </c>
      <c r="AH21" s="456">
        <f t="shared" si="13"/>
        <v>6.0701754385964906</v>
      </c>
      <c r="AI21" s="467">
        <f t="shared" ca="1" si="14"/>
        <v>48.561403508771917</v>
      </c>
      <c r="AJ21" s="458" t="str">
        <f t="shared" ca="1" si="15"/>
        <v>Q1</v>
      </c>
      <c r="AK21" s="93" t="s">
        <v>411</v>
      </c>
      <c r="AL21" s="110"/>
      <c r="AM21" s="118">
        <v>750000</v>
      </c>
      <c r="AN21" s="113"/>
      <c r="AO21" s="113"/>
      <c r="AP21" s="113"/>
      <c r="AQ21" s="121">
        <v>15250239</v>
      </c>
      <c r="AR21" s="436">
        <v>750000</v>
      </c>
      <c r="AS21" s="437">
        <v>5000000</v>
      </c>
      <c r="AT21" s="437">
        <v>15000000</v>
      </c>
      <c r="AU21" s="437">
        <v>19250000</v>
      </c>
      <c r="AV21" s="692"/>
      <c r="AW21" s="94"/>
    </row>
    <row r="22" spans="1:49" ht="35.25" customHeight="1">
      <c r="A22" s="5"/>
      <c r="B22" s="625">
        <v>30</v>
      </c>
      <c r="C22" s="6" t="s">
        <v>20</v>
      </c>
      <c r="D22" s="371" t="s">
        <v>418</v>
      </c>
      <c r="E22" s="21" t="s">
        <v>1255</v>
      </c>
      <c r="F22" s="17" t="s">
        <v>1416</v>
      </c>
      <c r="G22" s="20"/>
      <c r="H22" s="603">
        <v>110000</v>
      </c>
      <c r="I22" s="50">
        <v>2</v>
      </c>
      <c r="J22" s="55">
        <v>0.1</v>
      </c>
      <c r="K22" s="49"/>
      <c r="L22" s="56"/>
      <c r="M22" s="61">
        <v>7</v>
      </c>
      <c r="N22" s="62">
        <v>8</v>
      </c>
      <c r="O22" s="62">
        <v>6</v>
      </c>
      <c r="P22" s="62">
        <v>6</v>
      </c>
      <c r="Q22" s="62">
        <v>2</v>
      </c>
      <c r="R22" s="62">
        <v>6</v>
      </c>
      <c r="S22" s="62">
        <v>0</v>
      </c>
      <c r="T22" s="63">
        <v>10</v>
      </c>
      <c r="U22" s="66" t="e">
        <f t="shared" ca="1" si="0"/>
        <v>#DIV/0!</v>
      </c>
      <c r="V22" s="66">
        <f t="shared" ca="1" si="1"/>
        <v>0.1</v>
      </c>
      <c r="W22" s="70">
        <f t="shared" si="2"/>
        <v>1.1052631578947369</v>
      </c>
      <c r="X22" s="70">
        <f t="shared" si="3"/>
        <v>0.84210526315789469</v>
      </c>
      <c r="Y22" s="70">
        <f t="shared" si="4"/>
        <v>0.84210526315789469</v>
      </c>
      <c r="Z22" s="70">
        <f t="shared" si="5"/>
        <v>1.0526315789473684</v>
      </c>
      <c r="AA22" s="70">
        <f t="shared" si="6"/>
        <v>0.17543859649122806</v>
      </c>
      <c r="AB22" s="70">
        <f t="shared" si="7"/>
        <v>0.73684210526315785</v>
      </c>
      <c r="AC22" s="70">
        <f t="shared" si="8"/>
        <v>0</v>
      </c>
      <c r="AD22" s="71">
        <f t="shared" si="9"/>
        <v>1.0526315789473684</v>
      </c>
      <c r="AE22" s="72">
        <f t="shared" si="10"/>
        <v>0.8</v>
      </c>
      <c r="AF22" s="72">
        <f t="shared" ca="1" si="11"/>
        <v>0.9</v>
      </c>
      <c r="AG22" s="73">
        <f t="shared" ca="1" si="12"/>
        <v>0.83333333333333337</v>
      </c>
      <c r="AH22" s="456">
        <f t="shared" si="13"/>
        <v>5.8070175438596481</v>
      </c>
      <c r="AI22" s="467">
        <f t="shared" ca="1" si="14"/>
        <v>48.391812865497066</v>
      </c>
      <c r="AJ22" s="458" t="str">
        <f t="shared" ca="1" si="15"/>
        <v>Q2</v>
      </c>
      <c r="AK22" s="95" t="s">
        <v>360</v>
      </c>
      <c r="AL22" s="111"/>
      <c r="AM22" s="117">
        <v>110000</v>
      </c>
      <c r="AN22" s="113"/>
      <c r="AO22" s="113"/>
      <c r="AP22" s="113"/>
      <c r="AQ22" s="586"/>
      <c r="AR22" s="436">
        <f>AM22</f>
        <v>110000</v>
      </c>
      <c r="AS22" s="437"/>
      <c r="AT22" s="437"/>
      <c r="AU22" s="437"/>
      <c r="AV22" s="437"/>
      <c r="AW22" s="94"/>
    </row>
    <row r="23" spans="1:49" ht="35.25" customHeight="1">
      <c r="A23" s="5">
        <v>132</v>
      </c>
      <c r="B23" s="625">
        <v>33</v>
      </c>
      <c r="C23" s="6" t="s">
        <v>6</v>
      </c>
      <c r="D23" s="371" t="s">
        <v>7</v>
      </c>
      <c r="E23" s="7" t="s">
        <v>1090</v>
      </c>
      <c r="F23" s="8" t="s">
        <v>1335</v>
      </c>
      <c r="G23" s="8"/>
      <c r="H23" s="600">
        <v>240000</v>
      </c>
      <c r="I23" s="49">
        <v>3</v>
      </c>
      <c r="J23" s="55">
        <v>0</v>
      </c>
      <c r="K23" s="49"/>
      <c r="L23" s="56"/>
      <c r="M23" s="61">
        <v>6.0000000000000036</v>
      </c>
      <c r="N23" s="62">
        <v>8.0000000000000053</v>
      </c>
      <c r="O23" s="62">
        <v>6</v>
      </c>
      <c r="P23" s="62">
        <v>4.0000000000000027</v>
      </c>
      <c r="Q23" s="62">
        <v>3</v>
      </c>
      <c r="R23" s="62">
        <v>7</v>
      </c>
      <c r="S23" s="62">
        <v>7</v>
      </c>
      <c r="T23" s="63">
        <v>8.0000000000000053</v>
      </c>
      <c r="U23" s="66" t="e">
        <f t="shared" ca="1" si="0"/>
        <v>#DIV/0!</v>
      </c>
      <c r="V23" s="66">
        <f t="shared" ca="1" si="1"/>
        <v>0</v>
      </c>
      <c r="W23" s="70">
        <f t="shared" si="2"/>
        <v>0.94736842105263208</v>
      </c>
      <c r="X23" s="70">
        <f t="shared" si="3"/>
        <v>0.84210526315789525</v>
      </c>
      <c r="Y23" s="70">
        <f t="shared" si="4"/>
        <v>0.84210526315789469</v>
      </c>
      <c r="Z23" s="70">
        <f t="shared" si="5"/>
        <v>0.7017543859649128</v>
      </c>
      <c r="AA23" s="70">
        <f t="shared" si="6"/>
        <v>0.26315789473684209</v>
      </c>
      <c r="AB23" s="70">
        <f t="shared" si="7"/>
        <v>0.85964912280701755</v>
      </c>
      <c r="AC23" s="70">
        <f t="shared" si="8"/>
        <v>0.73684210526315785</v>
      </c>
      <c r="AD23" s="71">
        <f t="shared" si="9"/>
        <v>0.84210526315789525</v>
      </c>
      <c r="AE23" s="72">
        <f t="shared" si="10"/>
        <v>0.7</v>
      </c>
      <c r="AF23" s="72">
        <f t="shared" ca="1" si="11"/>
        <v>1</v>
      </c>
      <c r="AG23" s="73">
        <f t="shared" ca="1" si="12"/>
        <v>0.79999999999999993</v>
      </c>
      <c r="AH23" s="456">
        <f t="shared" si="13"/>
        <v>6.0350877192982475</v>
      </c>
      <c r="AI23" s="467">
        <f t="shared" ca="1" si="14"/>
        <v>48.280701754385973</v>
      </c>
      <c r="AJ23" s="458" t="str">
        <f t="shared" ca="1" si="15"/>
        <v>Q1</v>
      </c>
      <c r="AK23" s="93" t="s">
        <v>360</v>
      </c>
      <c r="AL23" s="571"/>
      <c r="AM23" s="117"/>
      <c r="AN23" s="113">
        <v>240000</v>
      </c>
      <c r="AO23" s="113"/>
      <c r="AP23" s="113"/>
      <c r="AQ23" s="121"/>
      <c r="AR23" s="436"/>
      <c r="AS23" s="437">
        <f>AN23*(1+Efactor)</f>
        <v>248399.99999999997</v>
      </c>
      <c r="AT23" s="437"/>
      <c r="AU23" s="437"/>
      <c r="AV23" s="437"/>
      <c r="AW23" s="94"/>
    </row>
    <row r="24" spans="1:49" ht="35.25" customHeight="1">
      <c r="A24" s="5">
        <v>147</v>
      </c>
      <c r="B24" s="625">
        <v>34</v>
      </c>
      <c r="C24" s="669" t="s">
        <v>20</v>
      </c>
      <c r="D24" s="665"/>
      <c r="E24" s="10" t="s">
        <v>1560</v>
      </c>
      <c r="F24" s="11" t="s">
        <v>1531</v>
      </c>
      <c r="G24" s="666"/>
      <c r="H24" s="608">
        <v>300000</v>
      </c>
      <c r="I24" s="50">
        <v>3</v>
      </c>
      <c r="J24" s="55">
        <v>0.3</v>
      </c>
      <c r="K24" s="49"/>
      <c r="L24" s="56"/>
      <c r="M24" s="61">
        <v>6</v>
      </c>
      <c r="N24" s="62">
        <v>6</v>
      </c>
      <c r="O24" s="62">
        <v>8</v>
      </c>
      <c r="P24" s="62">
        <v>7</v>
      </c>
      <c r="Q24" s="62">
        <v>8</v>
      </c>
      <c r="R24" s="62">
        <v>9</v>
      </c>
      <c r="S24" s="62">
        <v>3</v>
      </c>
      <c r="T24" s="63">
        <v>8</v>
      </c>
      <c r="U24" s="66" t="e">
        <f t="shared" ca="1" si="0"/>
        <v>#DIV/0!</v>
      </c>
      <c r="V24" s="66">
        <f t="shared" ca="1" si="1"/>
        <v>0.3</v>
      </c>
      <c r="W24" s="70">
        <f t="shared" si="2"/>
        <v>0.94736842105263153</v>
      </c>
      <c r="X24" s="70">
        <f t="shared" si="3"/>
        <v>0.63157894736842102</v>
      </c>
      <c r="Y24" s="70">
        <f t="shared" si="4"/>
        <v>1.1228070175438596</v>
      </c>
      <c r="Z24" s="70">
        <f t="shared" si="5"/>
        <v>1.2280701754385965</v>
      </c>
      <c r="AA24" s="70">
        <f t="shared" si="6"/>
        <v>0.70175438596491224</v>
      </c>
      <c r="AB24" s="70">
        <f t="shared" si="7"/>
        <v>1.1052631578947369</v>
      </c>
      <c r="AC24" s="70">
        <f t="shared" si="8"/>
        <v>0.31578947368421051</v>
      </c>
      <c r="AD24" s="71">
        <f t="shared" si="9"/>
        <v>0.84210526315789469</v>
      </c>
      <c r="AE24" s="72">
        <f t="shared" si="10"/>
        <v>0.7</v>
      </c>
      <c r="AF24" s="72">
        <f t="shared" ca="1" si="11"/>
        <v>0.7</v>
      </c>
      <c r="AG24" s="73">
        <f t="shared" ca="1" si="12"/>
        <v>0.69999999999999984</v>
      </c>
      <c r="AH24" s="456">
        <f t="shared" si="13"/>
        <v>6.8947368421052637</v>
      </c>
      <c r="AI24" s="467">
        <f t="shared" ca="1" si="14"/>
        <v>48.263157894736835</v>
      </c>
      <c r="AJ24" s="458" t="str">
        <f t="shared" ca="1" si="15"/>
        <v>Q3</v>
      </c>
      <c r="AK24" s="95" t="s">
        <v>360</v>
      </c>
      <c r="AL24" s="571"/>
      <c r="AM24" s="117"/>
      <c r="AN24" s="113"/>
      <c r="AO24" s="113"/>
      <c r="AP24" s="113"/>
      <c r="AQ24" s="121"/>
      <c r="AR24" s="436">
        <v>300000</v>
      </c>
      <c r="AS24" s="437"/>
      <c r="AT24" s="437"/>
      <c r="AU24" s="437"/>
      <c r="AV24" s="437"/>
      <c r="AW24" s="94"/>
    </row>
    <row r="25" spans="1:49" ht="37.5" customHeight="1">
      <c r="A25" s="5">
        <v>28</v>
      </c>
      <c r="B25" s="625">
        <v>36</v>
      </c>
      <c r="C25" s="6" t="s">
        <v>28</v>
      </c>
      <c r="D25" s="371" t="s">
        <v>7</v>
      </c>
      <c r="E25" s="18" t="s">
        <v>51</v>
      </c>
      <c r="F25" s="20" t="s">
        <v>1199</v>
      </c>
      <c r="G25" s="20"/>
      <c r="H25" s="603">
        <v>1100000</v>
      </c>
      <c r="I25" s="50">
        <v>3</v>
      </c>
      <c r="J25" s="55">
        <v>0.1</v>
      </c>
      <c r="K25" s="49"/>
      <c r="L25" s="56"/>
      <c r="M25" s="61">
        <v>8.0000000000000053</v>
      </c>
      <c r="N25" s="62">
        <v>8.0000000000000053</v>
      </c>
      <c r="O25" s="62">
        <v>6</v>
      </c>
      <c r="P25" s="62">
        <v>4.0000000000000027</v>
      </c>
      <c r="Q25" s="62">
        <v>2</v>
      </c>
      <c r="R25" s="62">
        <v>8.0000000000000053</v>
      </c>
      <c r="S25" s="62">
        <v>6</v>
      </c>
      <c r="T25" s="63">
        <v>8.0000000000000053</v>
      </c>
      <c r="U25" s="66" t="e">
        <f t="shared" ca="1" si="0"/>
        <v>#DIV/0!</v>
      </c>
      <c r="V25" s="66">
        <f t="shared" ca="1" si="1"/>
        <v>0.1</v>
      </c>
      <c r="W25" s="70">
        <f t="shared" si="2"/>
        <v>1.2631578947368429</v>
      </c>
      <c r="X25" s="70">
        <f t="shared" si="3"/>
        <v>0.84210526315789525</v>
      </c>
      <c r="Y25" s="70">
        <f t="shared" si="4"/>
        <v>0.84210526315789469</v>
      </c>
      <c r="Z25" s="70">
        <f t="shared" si="5"/>
        <v>0.7017543859649128</v>
      </c>
      <c r="AA25" s="70">
        <f t="shared" si="6"/>
        <v>0.17543859649122806</v>
      </c>
      <c r="AB25" s="70">
        <f t="shared" si="7"/>
        <v>0.9824561403508778</v>
      </c>
      <c r="AC25" s="70">
        <f t="shared" si="8"/>
        <v>0.63157894736842102</v>
      </c>
      <c r="AD25" s="71">
        <f t="shared" si="9"/>
        <v>0.84210526315789525</v>
      </c>
      <c r="AE25" s="72">
        <f t="shared" si="10"/>
        <v>0.7</v>
      </c>
      <c r="AF25" s="72">
        <f t="shared" ca="1" si="11"/>
        <v>0.9</v>
      </c>
      <c r="AG25" s="73">
        <f t="shared" ca="1" si="12"/>
        <v>0.76666666666666661</v>
      </c>
      <c r="AH25" s="456">
        <f t="shared" si="13"/>
        <v>6.2807017543859684</v>
      </c>
      <c r="AI25" s="467">
        <f t="shared" ca="1" si="14"/>
        <v>48.152046783625757</v>
      </c>
      <c r="AJ25" s="458" t="str">
        <f t="shared" ca="1" si="15"/>
        <v>Q1</v>
      </c>
      <c r="AK25" s="95" t="s">
        <v>360</v>
      </c>
      <c r="AL25" s="111"/>
      <c r="AM25" s="117"/>
      <c r="AN25" s="113">
        <v>500000</v>
      </c>
      <c r="AO25" s="113">
        <v>300000</v>
      </c>
      <c r="AP25" s="113">
        <v>300000</v>
      </c>
      <c r="AQ25" s="121"/>
      <c r="AR25" s="436"/>
      <c r="AS25" s="437">
        <f t="shared" ref="AS25:AS33" si="17">AN25*(1+Efactor)</f>
        <v>517499.99999999994</v>
      </c>
      <c r="AT25" s="437">
        <f>AO25*(1+Efactor)^2</f>
        <v>321367.49999999994</v>
      </c>
      <c r="AU25" s="437">
        <f>AP25*(1+Efactor)^3</f>
        <v>332615.36249999993</v>
      </c>
      <c r="AV25" s="437"/>
      <c r="AW25" s="94"/>
    </row>
    <row r="26" spans="1:49" ht="37.5" customHeight="1">
      <c r="A26" s="5"/>
      <c r="B26" s="625">
        <v>37</v>
      </c>
      <c r="C26" s="6" t="s">
        <v>53</v>
      </c>
      <c r="D26" s="371" t="s">
        <v>7</v>
      </c>
      <c r="E26" s="18" t="s">
        <v>54</v>
      </c>
      <c r="F26" s="20" t="s">
        <v>1201</v>
      </c>
      <c r="G26" s="20" t="s">
        <v>55</v>
      </c>
      <c r="H26" s="682">
        <v>300000</v>
      </c>
      <c r="I26" s="380">
        <v>1</v>
      </c>
      <c r="J26" s="377">
        <v>0.1</v>
      </c>
      <c r="K26" s="376"/>
      <c r="L26" s="378"/>
      <c r="M26" s="61">
        <v>8.0000000000000053</v>
      </c>
      <c r="N26" s="62">
        <v>4.0000000000000027</v>
      </c>
      <c r="O26" s="62">
        <v>6.0000000000000036</v>
      </c>
      <c r="P26" s="62">
        <v>6.0000000000000036</v>
      </c>
      <c r="Q26" s="62">
        <v>0</v>
      </c>
      <c r="R26" s="62">
        <v>4.0000000000000027</v>
      </c>
      <c r="S26" s="62">
        <v>4</v>
      </c>
      <c r="T26" s="63">
        <v>8.0000000000000053</v>
      </c>
      <c r="U26" s="66" t="e">
        <f t="shared" ca="1" si="0"/>
        <v>#DIV/0!</v>
      </c>
      <c r="V26" s="66">
        <f t="shared" ca="1" si="1"/>
        <v>0.1</v>
      </c>
      <c r="W26" s="70">
        <f t="shared" si="2"/>
        <v>1.2631578947368429</v>
      </c>
      <c r="X26" s="70">
        <f t="shared" si="3"/>
        <v>0.42105263157894762</v>
      </c>
      <c r="Y26" s="70">
        <f t="shared" si="4"/>
        <v>0.84210526315789525</v>
      </c>
      <c r="Z26" s="70">
        <f t="shared" si="5"/>
        <v>1.052631578947369</v>
      </c>
      <c r="AA26" s="70">
        <f t="shared" si="6"/>
        <v>0</v>
      </c>
      <c r="AB26" s="70">
        <f t="shared" si="7"/>
        <v>0.4912280701754389</v>
      </c>
      <c r="AC26" s="70">
        <f t="shared" si="8"/>
        <v>0.42105263157894735</v>
      </c>
      <c r="AD26" s="71">
        <f t="shared" si="9"/>
        <v>0.84210526315789525</v>
      </c>
      <c r="AE26" s="72">
        <f t="shared" si="10"/>
        <v>0.9</v>
      </c>
      <c r="AF26" s="72">
        <f t="shared" ca="1" si="11"/>
        <v>0.9</v>
      </c>
      <c r="AG26" s="73">
        <f t="shared" ca="1" si="12"/>
        <v>0.9</v>
      </c>
      <c r="AH26" s="456">
        <f t="shared" si="13"/>
        <v>5.3333333333333375</v>
      </c>
      <c r="AI26" s="467">
        <f t="shared" ca="1" si="14"/>
        <v>48.000000000000043</v>
      </c>
      <c r="AJ26" s="458" t="str">
        <f t="shared" ca="1" si="15"/>
        <v>Q2</v>
      </c>
      <c r="AK26" s="95" t="s">
        <v>360</v>
      </c>
      <c r="AL26" s="573"/>
      <c r="AM26" s="118"/>
      <c r="AN26" s="119">
        <v>300000</v>
      </c>
      <c r="AO26" s="119"/>
      <c r="AP26" s="119"/>
      <c r="AQ26" s="586"/>
      <c r="AR26" s="438"/>
      <c r="AS26" s="439">
        <f t="shared" si="17"/>
        <v>310500</v>
      </c>
      <c r="AT26" s="439"/>
      <c r="AU26" s="439"/>
      <c r="AV26" s="439"/>
      <c r="AW26" s="94"/>
    </row>
    <row r="27" spans="1:49" ht="36" customHeight="1">
      <c r="A27" s="5"/>
      <c r="B27" s="625">
        <v>38</v>
      </c>
      <c r="C27" s="6" t="s">
        <v>6</v>
      </c>
      <c r="D27" s="371" t="s">
        <v>7</v>
      </c>
      <c r="E27" s="7" t="s">
        <v>432</v>
      </c>
      <c r="F27" s="8" t="s">
        <v>1203</v>
      </c>
      <c r="G27" s="8"/>
      <c r="H27" s="600">
        <v>100000</v>
      </c>
      <c r="I27" s="49">
        <v>1</v>
      </c>
      <c r="J27" s="55">
        <v>0</v>
      </c>
      <c r="K27" s="49"/>
      <c r="L27" s="56"/>
      <c r="M27" s="61">
        <v>4</v>
      </c>
      <c r="N27" s="62">
        <v>7</v>
      </c>
      <c r="O27" s="62">
        <v>4</v>
      </c>
      <c r="P27" s="62">
        <v>8</v>
      </c>
      <c r="Q27" s="62">
        <v>5</v>
      </c>
      <c r="R27" s="62">
        <v>4</v>
      </c>
      <c r="S27" s="62">
        <v>0</v>
      </c>
      <c r="T27" s="63">
        <v>8</v>
      </c>
      <c r="U27" s="66" t="e">
        <f t="shared" ca="1" si="0"/>
        <v>#DIV/0!</v>
      </c>
      <c r="V27" s="66">
        <f t="shared" ca="1" si="1"/>
        <v>0</v>
      </c>
      <c r="W27" s="70">
        <f t="shared" si="2"/>
        <v>0.63157894736842102</v>
      </c>
      <c r="X27" s="70">
        <f t="shared" si="3"/>
        <v>0.73684210526315785</v>
      </c>
      <c r="Y27" s="70">
        <f t="shared" si="4"/>
        <v>0.56140350877192979</v>
      </c>
      <c r="Z27" s="70">
        <f t="shared" si="5"/>
        <v>1.4035087719298245</v>
      </c>
      <c r="AA27" s="70">
        <f t="shared" si="6"/>
        <v>0.43859649122807015</v>
      </c>
      <c r="AB27" s="70">
        <f t="shared" si="7"/>
        <v>0.49122807017543857</v>
      </c>
      <c r="AC27" s="70">
        <f t="shared" si="8"/>
        <v>0</v>
      </c>
      <c r="AD27" s="71">
        <f t="shared" si="9"/>
        <v>0.84210526315789469</v>
      </c>
      <c r="AE27" s="72">
        <f t="shared" si="10"/>
        <v>0.9</v>
      </c>
      <c r="AF27" s="72">
        <f t="shared" ca="1" si="11"/>
        <v>1</v>
      </c>
      <c r="AG27" s="73">
        <f t="shared" ca="1" si="12"/>
        <v>0.93333333333333324</v>
      </c>
      <c r="AH27" s="456">
        <f t="shared" si="13"/>
        <v>5.1052631578947363</v>
      </c>
      <c r="AI27" s="467">
        <f t="shared" ca="1" si="14"/>
        <v>47.649122807017534</v>
      </c>
      <c r="AJ27" s="458" t="str">
        <f t="shared" ca="1" si="15"/>
        <v>Q2</v>
      </c>
      <c r="AK27" s="93" t="s">
        <v>360</v>
      </c>
      <c r="AL27" s="110"/>
      <c r="AM27" s="117"/>
      <c r="AN27" s="113">
        <v>100000</v>
      </c>
      <c r="AO27" s="113"/>
      <c r="AP27" s="113"/>
      <c r="AQ27" s="121"/>
      <c r="AR27" s="436"/>
      <c r="AS27" s="437">
        <f t="shared" si="17"/>
        <v>103499.99999999999</v>
      </c>
      <c r="AT27" s="437"/>
      <c r="AU27" s="437"/>
      <c r="AV27" s="437"/>
      <c r="AW27" s="94"/>
    </row>
    <row r="28" spans="1:49" ht="36" customHeight="1">
      <c r="A28" s="5"/>
      <c r="B28" s="625">
        <v>44</v>
      </c>
      <c r="C28" s="6" t="s">
        <v>6</v>
      </c>
      <c r="D28" s="371" t="s">
        <v>7</v>
      </c>
      <c r="E28" s="7" t="s">
        <v>102</v>
      </c>
      <c r="F28" s="8" t="s">
        <v>1204</v>
      </c>
      <c r="G28" s="8"/>
      <c r="H28" s="679">
        <v>650000</v>
      </c>
      <c r="I28" s="376">
        <v>2</v>
      </c>
      <c r="J28" s="377">
        <v>0</v>
      </c>
      <c r="K28" s="376"/>
      <c r="L28" s="378"/>
      <c r="M28" s="61">
        <v>6.0000000000000036</v>
      </c>
      <c r="N28" s="62">
        <v>8.0000000000000053</v>
      </c>
      <c r="O28" s="62">
        <v>4.0000000000000027</v>
      </c>
      <c r="P28" s="62">
        <v>6.0000000000000036</v>
      </c>
      <c r="Q28" s="62">
        <v>4.0000000000000027</v>
      </c>
      <c r="R28" s="62">
        <v>6.0000000000000036</v>
      </c>
      <c r="S28" s="62">
        <v>1</v>
      </c>
      <c r="T28" s="63">
        <v>8</v>
      </c>
      <c r="U28" s="66" t="e">
        <f t="shared" ca="1" si="0"/>
        <v>#DIV/0!</v>
      </c>
      <c r="V28" s="66">
        <f t="shared" ca="1" si="1"/>
        <v>0</v>
      </c>
      <c r="W28" s="70">
        <f t="shared" si="2"/>
        <v>0.94736842105263208</v>
      </c>
      <c r="X28" s="70">
        <f t="shared" si="3"/>
        <v>0.84210526315789525</v>
      </c>
      <c r="Y28" s="70">
        <f t="shared" si="4"/>
        <v>0.56140350877193024</v>
      </c>
      <c r="Z28" s="70">
        <f t="shared" si="5"/>
        <v>1.052631578947369</v>
      </c>
      <c r="AA28" s="70">
        <f t="shared" si="6"/>
        <v>0.3508771929824564</v>
      </c>
      <c r="AB28" s="70">
        <f t="shared" si="7"/>
        <v>0.73684210526315841</v>
      </c>
      <c r="AC28" s="70">
        <f t="shared" si="8"/>
        <v>0.10526315789473684</v>
      </c>
      <c r="AD28" s="71">
        <f t="shared" si="9"/>
        <v>0.84210526315789469</v>
      </c>
      <c r="AE28" s="72">
        <f t="shared" si="10"/>
        <v>0.8</v>
      </c>
      <c r="AF28" s="72">
        <f t="shared" ca="1" si="11"/>
        <v>1</v>
      </c>
      <c r="AG28" s="73">
        <f t="shared" ca="1" si="12"/>
        <v>0.8666666666666667</v>
      </c>
      <c r="AH28" s="456">
        <f t="shared" si="13"/>
        <v>5.4385964912280738</v>
      </c>
      <c r="AI28" s="467">
        <f t="shared" ca="1" si="14"/>
        <v>47.13450292397664</v>
      </c>
      <c r="AJ28" s="458" t="str">
        <f t="shared" ca="1" si="15"/>
        <v>Q2</v>
      </c>
      <c r="AK28" s="93" t="s">
        <v>360</v>
      </c>
      <c r="AL28" s="570"/>
      <c r="AM28" s="118"/>
      <c r="AN28" s="119">
        <v>200000</v>
      </c>
      <c r="AO28" s="119"/>
      <c r="AP28" s="119">
        <v>450000</v>
      </c>
      <c r="AQ28" s="586"/>
      <c r="AR28" s="438"/>
      <c r="AS28" s="439">
        <f t="shared" si="17"/>
        <v>206999.99999999997</v>
      </c>
      <c r="AT28" s="439"/>
      <c r="AU28" s="439">
        <f>AP28*(1+Efactor)^3</f>
        <v>498923.0437499999</v>
      </c>
      <c r="AV28" s="439"/>
      <c r="AW28" s="94"/>
    </row>
    <row r="29" spans="1:49" ht="36" customHeight="1">
      <c r="A29" s="5">
        <v>20</v>
      </c>
      <c r="B29" s="625">
        <v>45</v>
      </c>
      <c r="C29" s="6" t="s">
        <v>6</v>
      </c>
      <c r="D29" s="371" t="s">
        <v>7</v>
      </c>
      <c r="E29" s="7" t="s">
        <v>437</v>
      </c>
      <c r="F29" s="17" t="s">
        <v>1202</v>
      </c>
      <c r="G29" s="8"/>
      <c r="H29" s="600">
        <v>350000</v>
      </c>
      <c r="I29" s="49">
        <v>3</v>
      </c>
      <c r="J29" s="55">
        <v>0.1</v>
      </c>
      <c r="K29" s="49"/>
      <c r="L29" s="56"/>
      <c r="M29" s="61">
        <v>6</v>
      </c>
      <c r="N29" s="62">
        <v>8.0000000000000053</v>
      </c>
      <c r="O29" s="62">
        <v>4.0000000000000027</v>
      </c>
      <c r="P29" s="62">
        <v>8</v>
      </c>
      <c r="Q29" s="62">
        <v>4.0000000000000027</v>
      </c>
      <c r="R29" s="62">
        <v>8.0000000000000053</v>
      </c>
      <c r="S29" s="62">
        <v>2</v>
      </c>
      <c r="T29" s="63">
        <v>8.0000000000000053</v>
      </c>
      <c r="U29" s="66" t="e">
        <f t="shared" ca="1" si="0"/>
        <v>#DIV/0!</v>
      </c>
      <c r="V29" s="66">
        <f t="shared" ca="1" si="1"/>
        <v>0.1</v>
      </c>
      <c r="W29" s="70">
        <f t="shared" si="2"/>
        <v>0.94736842105263153</v>
      </c>
      <c r="X29" s="70">
        <f t="shared" si="3"/>
        <v>0.84210526315789525</v>
      </c>
      <c r="Y29" s="70">
        <f t="shared" si="4"/>
        <v>0.56140350877193024</v>
      </c>
      <c r="Z29" s="70">
        <f t="shared" si="5"/>
        <v>1.4035087719298245</v>
      </c>
      <c r="AA29" s="70">
        <f t="shared" si="6"/>
        <v>0.3508771929824564</v>
      </c>
      <c r="AB29" s="70">
        <f t="shared" si="7"/>
        <v>0.9824561403508778</v>
      </c>
      <c r="AC29" s="70">
        <f t="shared" si="8"/>
        <v>0.21052631578947367</v>
      </c>
      <c r="AD29" s="71">
        <f t="shared" si="9"/>
        <v>0.84210526315789525</v>
      </c>
      <c r="AE29" s="72">
        <f t="shared" si="10"/>
        <v>0.7</v>
      </c>
      <c r="AF29" s="72">
        <f t="shared" ca="1" si="11"/>
        <v>0.9</v>
      </c>
      <c r="AG29" s="73">
        <f t="shared" ca="1" si="12"/>
        <v>0.76666666666666661</v>
      </c>
      <c r="AH29" s="456">
        <f t="shared" si="13"/>
        <v>6.1403508771929847</v>
      </c>
      <c r="AI29" s="467">
        <f t="shared" ca="1" si="14"/>
        <v>47.076023391812882</v>
      </c>
      <c r="AJ29" s="458" t="str">
        <f t="shared" ca="1" si="15"/>
        <v>Q1</v>
      </c>
      <c r="AK29" s="93" t="s">
        <v>360</v>
      </c>
      <c r="AL29" s="110"/>
      <c r="AM29" s="118"/>
      <c r="AN29" s="113">
        <v>125000</v>
      </c>
      <c r="AO29" s="113"/>
      <c r="AP29" s="113"/>
      <c r="AQ29" s="121"/>
      <c r="AR29" s="436"/>
      <c r="AS29" s="437">
        <f t="shared" si="17"/>
        <v>129374.99999999999</v>
      </c>
      <c r="AT29" s="437"/>
      <c r="AU29" s="437"/>
      <c r="AV29" s="437"/>
      <c r="AW29" s="94"/>
    </row>
    <row r="30" spans="1:49" ht="36" customHeight="1">
      <c r="A30" s="5">
        <v>25</v>
      </c>
      <c r="B30" s="625">
        <v>47</v>
      </c>
      <c r="C30" s="6" t="s">
        <v>12</v>
      </c>
      <c r="D30" s="371" t="s">
        <v>7</v>
      </c>
      <c r="E30" s="18" t="s">
        <v>47</v>
      </c>
      <c r="F30" s="20" t="s">
        <v>48</v>
      </c>
      <c r="G30" s="20" t="s">
        <v>49</v>
      </c>
      <c r="H30" s="600">
        <v>123000</v>
      </c>
      <c r="I30" s="50">
        <v>3</v>
      </c>
      <c r="J30" s="55">
        <v>0.1</v>
      </c>
      <c r="K30" s="49"/>
      <c r="L30" s="56"/>
      <c r="M30" s="61">
        <v>8.0000000000000053</v>
      </c>
      <c r="N30" s="62">
        <v>4.0000000000000027</v>
      </c>
      <c r="O30" s="62">
        <v>4.0000000000000027</v>
      </c>
      <c r="P30" s="62">
        <v>9</v>
      </c>
      <c r="Q30" s="62">
        <v>7.0000000000000044</v>
      </c>
      <c r="R30" s="62">
        <v>6.0000000000000036</v>
      </c>
      <c r="S30" s="62">
        <v>1</v>
      </c>
      <c r="T30" s="63">
        <v>8.0000000000000053</v>
      </c>
      <c r="U30" s="66" t="e">
        <f t="shared" ca="1" si="0"/>
        <v>#DIV/0!</v>
      </c>
      <c r="V30" s="66">
        <f t="shared" ca="1" si="1"/>
        <v>0.1</v>
      </c>
      <c r="W30" s="70">
        <f t="shared" si="2"/>
        <v>1.2631578947368429</v>
      </c>
      <c r="X30" s="70">
        <f t="shared" si="3"/>
        <v>0.42105263157894762</v>
      </c>
      <c r="Y30" s="70">
        <f t="shared" si="4"/>
        <v>0.56140350877193024</v>
      </c>
      <c r="Z30" s="70">
        <f t="shared" si="5"/>
        <v>1.5789473684210527</v>
      </c>
      <c r="AA30" s="70">
        <f t="shared" si="6"/>
        <v>0.6140350877192986</v>
      </c>
      <c r="AB30" s="70">
        <f t="shared" si="7"/>
        <v>0.73684210526315841</v>
      </c>
      <c r="AC30" s="70">
        <f t="shared" si="8"/>
        <v>0.10526315789473684</v>
      </c>
      <c r="AD30" s="71">
        <f t="shared" si="9"/>
        <v>0.84210526315789525</v>
      </c>
      <c r="AE30" s="72">
        <f t="shared" si="10"/>
        <v>0.7</v>
      </c>
      <c r="AF30" s="72">
        <f t="shared" ca="1" si="11"/>
        <v>0.9</v>
      </c>
      <c r="AG30" s="73">
        <f t="shared" ca="1" si="12"/>
        <v>0.76666666666666661</v>
      </c>
      <c r="AH30" s="456">
        <f t="shared" si="13"/>
        <v>6.1228070175438631</v>
      </c>
      <c r="AI30" s="467">
        <f t="shared" ca="1" si="14"/>
        <v>46.941520467836284</v>
      </c>
      <c r="AJ30" s="458" t="str">
        <f t="shared" ca="1" si="15"/>
        <v>Q1</v>
      </c>
      <c r="AK30" s="95" t="s">
        <v>360</v>
      </c>
      <c r="AL30" s="111"/>
      <c r="AM30" s="117"/>
      <c r="AN30" s="113">
        <v>123000</v>
      </c>
      <c r="AO30" s="113"/>
      <c r="AP30" s="113"/>
      <c r="AQ30" s="121"/>
      <c r="AR30" s="436"/>
      <c r="AS30" s="437">
        <f t="shared" si="17"/>
        <v>127304.99999999999</v>
      </c>
      <c r="AT30" s="437"/>
      <c r="AU30" s="437"/>
      <c r="AV30" s="437"/>
      <c r="AW30" s="94"/>
    </row>
    <row r="31" spans="1:49" ht="36.75" customHeight="1">
      <c r="A31" s="5"/>
      <c r="B31" s="625">
        <v>51</v>
      </c>
      <c r="C31" s="6" t="s">
        <v>20</v>
      </c>
      <c r="D31" s="371" t="s">
        <v>418</v>
      </c>
      <c r="E31" s="21" t="s">
        <v>1148</v>
      </c>
      <c r="F31" s="13" t="s">
        <v>1417</v>
      </c>
      <c r="G31" s="128" t="s">
        <v>41</v>
      </c>
      <c r="H31" s="603">
        <v>300000</v>
      </c>
      <c r="I31" s="50">
        <v>2</v>
      </c>
      <c r="J31" s="55">
        <v>0.2</v>
      </c>
      <c r="K31" s="49"/>
      <c r="L31" s="56"/>
      <c r="M31" s="61">
        <v>8.0000000000000053</v>
      </c>
      <c r="N31" s="62">
        <v>8</v>
      </c>
      <c r="O31" s="62">
        <v>4</v>
      </c>
      <c r="P31" s="62">
        <v>8.0000000000000053</v>
      </c>
      <c r="Q31" s="62">
        <v>4</v>
      </c>
      <c r="R31" s="62">
        <v>6</v>
      </c>
      <c r="S31" s="62">
        <v>0</v>
      </c>
      <c r="T31" s="63">
        <v>6.0000000000000036</v>
      </c>
      <c r="U31" s="66" t="e">
        <f t="shared" ca="1" si="0"/>
        <v>#DIV/0!</v>
      </c>
      <c r="V31" s="66">
        <f t="shared" ca="1" si="1"/>
        <v>0.2</v>
      </c>
      <c r="W31" s="70">
        <f t="shared" si="2"/>
        <v>1.2631578947368429</v>
      </c>
      <c r="X31" s="70">
        <f t="shared" si="3"/>
        <v>0.84210526315789469</v>
      </c>
      <c r="Y31" s="70">
        <f t="shared" si="4"/>
        <v>0.56140350877192979</v>
      </c>
      <c r="Z31" s="70">
        <f t="shared" si="5"/>
        <v>1.4035087719298256</v>
      </c>
      <c r="AA31" s="70">
        <f t="shared" si="6"/>
        <v>0.35087719298245612</v>
      </c>
      <c r="AB31" s="70">
        <f t="shared" si="7"/>
        <v>0.73684210526315785</v>
      </c>
      <c r="AC31" s="70">
        <f t="shared" si="8"/>
        <v>0</v>
      </c>
      <c r="AD31" s="71">
        <f t="shared" si="9"/>
        <v>0.63157894736842146</v>
      </c>
      <c r="AE31" s="72">
        <f t="shared" si="10"/>
        <v>0.8</v>
      </c>
      <c r="AF31" s="72">
        <f t="shared" ca="1" si="11"/>
        <v>0.8</v>
      </c>
      <c r="AG31" s="73">
        <f t="shared" ca="1" si="12"/>
        <v>0.80000000000000016</v>
      </c>
      <c r="AH31" s="456">
        <f t="shared" si="13"/>
        <v>5.7894736842105283</v>
      </c>
      <c r="AI31" s="467">
        <f t="shared" ca="1" si="14"/>
        <v>46.315789473684241</v>
      </c>
      <c r="AJ31" s="458" t="str">
        <f t="shared" ca="1" si="15"/>
        <v>Q2</v>
      </c>
      <c r="AK31" s="95" t="s">
        <v>360</v>
      </c>
      <c r="AL31" s="111"/>
      <c r="AM31" s="117"/>
      <c r="AN31" s="113">
        <v>300000</v>
      </c>
      <c r="AO31" s="121"/>
      <c r="AP31" s="113"/>
      <c r="AQ31" s="121"/>
      <c r="AR31" s="436"/>
      <c r="AS31" s="437">
        <f t="shared" si="17"/>
        <v>310500</v>
      </c>
      <c r="AT31" s="437"/>
      <c r="AU31" s="437"/>
      <c r="AV31" s="437"/>
      <c r="AW31" s="94"/>
    </row>
    <row r="32" spans="1:49" ht="36" customHeight="1">
      <c r="A32" s="5">
        <v>57</v>
      </c>
      <c r="B32" s="625">
        <v>53</v>
      </c>
      <c r="C32" s="14" t="s">
        <v>8</v>
      </c>
      <c r="D32" s="442" t="s">
        <v>7</v>
      </c>
      <c r="E32" s="7" t="s">
        <v>1458</v>
      </c>
      <c r="F32" s="11" t="s">
        <v>1459</v>
      </c>
      <c r="G32" s="8" t="s">
        <v>50</v>
      </c>
      <c r="H32" s="600">
        <v>100000</v>
      </c>
      <c r="I32" s="50">
        <v>2</v>
      </c>
      <c r="J32" s="55">
        <v>0.1</v>
      </c>
      <c r="K32" s="49"/>
      <c r="L32" s="56"/>
      <c r="M32" s="61">
        <v>6</v>
      </c>
      <c r="N32" s="62">
        <v>8.0000000000000053</v>
      </c>
      <c r="O32" s="62">
        <v>4</v>
      </c>
      <c r="P32" s="62">
        <v>7</v>
      </c>
      <c r="Q32" s="62">
        <v>0</v>
      </c>
      <c r="R32" s="62">
        <v>8.0000000000000053</v>
      </c>
      <c r="S32" s="62">
        <v>1</v>
      </c>
      <c r="T32" s="63">
        <v>8</v>
      </c>
      <c r="U32" s="66" t="e">
        <f t="shared" ca="1" si="0"/>
        <v>#DIV/0!</v>
      </c>
      <c r="V32" s="66">
        <f t="shared" ca="1" si="1"/>
        <v>0.1</v>
      </c>
      <c r="W32" s="70">
        <f t="shared" si="2"/>
        <v>0.94736842105263153</v>
      </c>
      <c r="X32" s="70">
        <f t="shared" si="3"/>
        <v>0.84210526315789525</v>
      </c>
      <c r="Y32" s="70">
        <f t="shared" si="4"/>
        <v>0.56140350877192979</v>
      </c>
      <c r="Z32" s="70">
        <f t="shared" si="5"/>
        <v>1.2280701754385965</v>
      </c>
      <c r="AA32" s="70">
        <f t="shared" si="6"/>
        <v>0</v>
      </c>
      <c r="AB32" s="70">
        <f t="shared" si="7"/>
        <v>0.9824561403508778</v>
      </c>
      <c r="AC32" s="70">
        <f t="shared" si="8"/>
        <v>0.10526315789473684</v>
      </c>
      <c r="AD32" s="71">
        <f t="shared" si="9"/>
        <v>0.84210526315789469</v>
      </c>
      <c r="AE32" s="72">
        <f t="shared" si="10"/>
        <v>0.8</v>
      </c>
      <c r="AF32" s="72">
        <f t="shared" ca="1" si="11"/>
        <v>0.9</v>
      </c>
      <c r="AG32" s="73">
        <f t="shared" ca="1" si="12"/>
        <v>0.83333333333333337</v>
      </c>
      <c r="AH32" s="456">
        <f t="shared" si="13"/>
        <v>5.5087719298245625</v>
      </c>
      <c r="AI32" s="467">
        <f t="shared" ca="1" si="14"/>
        <v>45.906432748538023</v>
      </c>
      <c r="AJ32" s="458" t="str">
        <f t="shared" ca="1" si="15"/>
        <v>Q2</v>
      </c>
      <c r="AK32" s="95" t="s">
        <v>413</v>
      </c>
      <c r="AL32" s="111"/>
      <c r="AM32" s="117"/>
      <c r="AN32" s="113">
        <v>100000</v>
      </c>
      <c r="AO32" s="121"/>
      <c r="AP32" s="113"/>
      <c r="AQ32" s="121"/>
      <c r="AR32" s="436"/>
      <c r="AS32" s="437">
        <f t="shared" si="17"/>
        <v>103499.99999999999</v>
      </c>
      <c r="AT32" s="437"/>
      <c r="AU32" s="437"/>
      <c r="AV32" s="437"/>
      <c r="AW32" s="94"/>
    </row>
    <row r="33" spans="1:49" ht="36" customHeight="1">
      <c r="A33" s="5"/>
      <c r="B33" s="625">
        <v>57</v>
      </c>
      <c r="C33" s="6" t="s">
        <v>53</v>
      </c>
      <c r="D33" s="371" t="s">
        <v>7</v>
      </c>
      <c r="E33" s="18" t="s">
        <v>58</v>
      </c>
      <c r="F33" s="19" t="s">
        <v>1205</v>
      </c>
      <c r="G33" s="20" t="s">
        <v>59</v>
      </c>
      <c r="H33" s="603">
        <v>83000</v>
      </c>
      <c r="I33" s="50">
        <v>2</v>
      </c>
      <c r="J33" s="55">
        <v>0.1</v>
      </c>
      <c r="K33" s="49"/>
      <c r="L33" s="56"/>
      <c r="M33" s="61">
        <v>8.0000000000000053</v>
      </c>
      <c r="N33" s="62">
        <v>3</v>
      </c>
      <c r="O33" s="62">
        <v>6.0000000000000036</v>
      </c>
      <c r="P33" s="62">
        <v>6</v>
      </c>
      <c r="Q33" s="62">
        <v>8.0000000000000053</v>
      </c>
      <c r="R33" s="62">
        <v>2</v>
      </c>
      <c r="S33" s="62">
        <v>2</v>
      </c>
      <c r="T33" s="63">
        <v>8.0000000000000053</v>
      </c>
      <c r="U33" s="66" t="e">
        <f t="shared" ca="1" si="0"/>
        <v>#DIV/0!</v>
      </c>
      <c r="V33" s="66">
        <f t="shared" ca="1" si="1"/>
        <v>0.1</v>
      </c>
      <c r="W33" s="70">
        <f t="shared" si="2"/>
        <v>1.2631578947368429</v>
      </c>
      <c r="X33" s="70">
        <f t="shared" si="3"/>
        <v>0.31578947368421051</v>
      </c>
      <c r="Y33" s="70">
        <f t="shared" si="4"/>
        <v>0.84210526315789525</v>
      </c>
      <c r="Z33" s="70">
        <f t="shared" si="5"/>
        <v>1.0526315789473684</v>
      </c>
      <c r="AA33" s="70">
        <f t="shared" si="6"/>
        <v>0.7017543859649128</v>
      </c>
      <c r="AB33" s="70">
        <f t="shared" si="7"/>
        <v>0.24561403508771928</v>
      </c>
      <c r="AC33" s="70">
        <f t="shared" si="8"/>
        <v>0.21052631578947367</v>
      </c>
      <c r="AD33" s="71">
        <f t="shared" si="9"/>
        <v>0.84210526315789525</v>
      </c>
      <c r="AE33" s="72">
        <f t="shared" si="10"/>
        <v>0.8</v>
      </c>
      <c r="AF33" s="72">
        <f t="shared" ca="1" si="11"/>
        <v>0.9</v>
      </c>
      <c r="AG33" s="73">
        <f t="shared" ca="1" si="12"/>
        <v>0.83333333333333337</v>
      </c>
      <c r="AH33" s="456">
        <f t="shared" si="13"/>
        <v>5.4736842105263177</v>
      </c>
      <c r="AI33" s="467">
        <f t="shared" ca="1" si="14"/>
        <v>45.614035087719316</v>
      </c>
      <c r="AJ33" s="458" t="str">
        <f t="shared" ca="1" si="15"/>
        <v>Q2</v>
      </c>
      <c r="AK33" s="95" t="s">
        <v>360</v>
      </c>
      <c r="AL33" s="111"/>
      <c r="AM33" s="117"/>
      <c r="AN33" s="113">
        <v>83000</v>
      </c>
      <c r="AO33" s="113"/>
      <c r="AP33" s="113"/>
      <c r="AQ33" s="121"/>
      <c r="AR33" s="673"/>
      <c r="AS33" s="437">
        <f t="shared" si="17"/>
        <v>85905</v>
      </c>
      <c r="AT33" s="437"/>
      <c r="AU33" s="437"/>
      <c r="AV33" s="437"/>
      <c r="AW33" s="94"/>
    </row>
    <row r="34" spans="1:49" ht="36" customHeight="1">
      <c r="A34" s="5"/>
      <c r="B34" s="625">
        <v>64</v>
      </c>
      <c r="C34" s="14" t="s">
        <v>12</v>
      </c>
      <c r="D34" s="442" t="s">
        <v>418</v>
      </c>
      <c r="E34" s="12" t="s">
        <v>1550</v>
      </c>
      <c r="F34" s="13" t="s">
        <v>1551</v>
      </c>
      <c r="G34" s="127" t="s">
        <v>71</v>
      </c>
      <c r="H34" s="600">
        <v>600000</v>
      </c>
      <c r="I34" s="50">
        <v>3</v>
      </c>
      <c r="J34" s="55">
        <v>0.3</v>
      </c>
      <c r="K34" s="49"/>
      <c r="L34" s="56"/>
      <c r="M34" s="61">
        <v>7</v>
      </c>
      <c r="N34" s="62">
        <v>7</v>
      </c>
      <c r="O34" s="62">
        <v>3</v>
      </c>
      <c r="P34" s="62">
        <v>9.9999999999999982</v>
      </c>
      <c r="Q34" s="62">
        <v>5</v>
      </c>
      <c r="R34" s="62">
        <v>8.0000000000000053</v>
      </c>
      <c r="S34" s="62">
        <v>0</v>
      </c>
      <c r="T34" s="63">
        <v>9.9999999999999982</v>
      </c>
      <c r="U34" s="66" t="e">
        <f t="shared" ca="1" si="0"/>
        <v>#DIV/0!</v>
      </c>
      <c r="V34" s="66">
        <f t="shared" ca="1" si="1"/>
        <v>0.3</v>
      </c>
      <c r="W34" s="70">
        <f t="shared" si="2"/>
        <v>1.1052631578947369</v>
      </c>
      <c r="X34" s="70">
        <f t="shared" si="3"/>
        <v>0.73684210526315785</v>
      </c>
      <c r="Y34" s="70">
        <f t="shared" si="4"/>
        <v>0.42105263157894735</v>
      </c>
      <c r="Z34" s="70">
        <f t="shared" si="5"/>
        <v>1.7543859649122804</v>
      </c>
      <c r="AA34" s="70">
        <f t="shared" si="6"/>
        <v>0.43859649122807015</v>
      </c>
      <c r="AB34" s="70">
        <f t="shared" si="7"/>
        <v>0.9824561403508778</v>
      </c>
      <c r="AC34" s="70">
        <f t="shared" si="8"/>
        <v>0</v>
      </c>
      <c r="AD34" s="71">
        <f t="shared" si="9"/>
        <v>1.0526315789473681</v>
      </c>
      <c r="AE34" s="72">
        <f t="shared" si="10"/>
        <v>0.7</v>
      </c>
      <c r="AF34" s="72">
        <f t="shared" ca="1" si="11"/>
        <v>0.7</v>
      </c>
      <c r="AG34" s="73">
        <f t="shared" ca="1" si="12"/>
        <v>0.69999999999999984</v>
      </c>
      <c r="AH34" s="456">
        <f t="shared" si="13"/>
        <v>6.4912280701754383</v>
      </c>
      <c r="AI34" s="467">
        <f t="shared" ca="1" si="14"/>
        <v>45.438596491228054</v>
      </c>
      <c r="AJ34" s="458" t="str">
        <f t="shared" ca="1" si="15"/>
        <v>Q3</v>
      </c>
      <c r="AK34" s="95" t="s">
        <v>360</v>
      </c>
      <c r="AL34" s="573"/>
      <c r="AM34" s="117"/>
      <c r="AN34" s="113"/>
      <c r="AO34" s="121">
        <v>600000</v>
      </c>
      <c r="AP34" s="113"/>
      <c r="AQ34" s="121"/>
      <c r="AR34" s="439"/>
      <c r="AS34" s="672"/>
      <c r="AT34" s="437">
        <f t="shared" ref="AT34:AT43" si="18">AO34*(1+Efactor)^2</f>
        <v>642734.99999999988</v>
      </c>
      <c r="AU34" s="437"/>
      <c r="AV34" s="693"/>
      <c r="AW34" s="94"/>
    </row>
    <row r="35" spans="1:49" ht="36" customHeight="1">
      <c r="A35" s="5"/>
      <c r="B35" s="625">
        <v>66</v>
      </c>
      <c r="C35" s="6" t="s">
        <v>6</v>
      </c>
      <c r="D35" s="371" t="s">
        <v>7</v>
      </c>
      <c r="E35" s="7" t="s">
        <v>52</v>
      </c>
      <c r="F35" s="9" t="s">
        <v>1332</v>
      </c>
      <c r="G35" s="8"/>
      <c r="H35" s="600">
        <v>225000</v>
      </c>
      <c r="I35" s="49">
        <v>2</v>
      </c>
      <c r="J35" s="55">
        <v>0.1</v>
      </c>
      <c r="K35" s="49"/>
      <c r="L35" s="56"/>
      <c r="M35" s="61">
        <v>8.0000000000000053</v>
      </c>
      <c r="N35" s="62">
        <v>8.0000000000000053</v>
      </c>
      <c r="O35" s="62">
        <v>2</v>
      </c>
      <c r="P35" s="62">
        <v>8.0000000000000053</v>
      </c>
      <c r="Q35" s="62">
        <v>5</v>
      </c>
      <c r="R35" s="62">
        <v>4</v>
      </c>
      <c r="S35" s="62">
        <v>0</v>
      </c>
      <c r="T35" s="63">
        <v>6.0000000000000036</v>
      </c>
      <c r="U35" s="66" t="e">
        <f t="shared" ca="1" si="0"/>
        <v>#DIV/0!</v>
      </c>
      <c r="V35" s="66">
        <f t="shared" ca="1" si="1"/>
        <v>0.1</v>
      </c>
      <c r="W35" s="70">
        <f t="shared" si="2"/>
        <v>1.2631578947368429</v>
      </c>
      <c r="X35" s="70">
        <f t="shared" si="3"/>
        <v>0.84210526315789525</v>
      </c>
      <c r="Y35" s="70">
        <f t="shared" si="4"/>
        <v>0.2807017543859649</v>
      </c>
      <c r="Z35" s="70">
        <f t="shared" si="5"/>
        <v>1.4035087719298256</v>
      </c>
      <c r="AA35" s="70">
        <f t="shared" si="6"/>
        <v>0.43859649122807015</v>
      </c>
      <c r="AB35" s="70">
        <f t="shared" si="7"/>
        <v>0.49122807017543857</v>
      </c>
      <c r="AC35" s="70">
        <f t="shared" si="8"/>
        <v>0</v>
      </c>
      <c r="AD35" s="71">
        <f t="shared" si="9"/>
        <v>0.63157894736842146</v>
      </c>
      <c r="AE35" s="72">
        <f t="shared" si="10"/>
        <v>0.8</v>
      </c>
      <c r="AF35" s="72">
        <f t="shared" ca="1" si="11"/>
        <v>0.9</v>
      </c>
      <c r="AG35" s="73">
        <f t="shared" ca="1" si="12"/>
        <v>0.83333333333333337</v>
      </c>
      <c r="AH35" s="456">
        <f t="shared" si="13"/>
        <v>5.3508771929824581</v>
      </c>
      <c r="AI35" s="467">
        <f t="shared" ca="1" si="14"/>
        <v>44.590643274853818</v>
      </c>
      <c r="AJ35" s="458" t="str">
        <f t="shared" ca="1" si="15"/>
        <v>Q2</v>
      </c>
      <c r="AK35" s="93" t="s">
        <v>360</v>
      </c>
      <c r="AL35" s="110"/>
      <c r="AM35" s="117"/>
      <c r="AN35" s="113"/>
      <c r="AO35" s="121">
        <v>225000</v>
      </c>
      <c r="AP35" s="113"/>
      <c r="AQ35" s="121"/>
      <c r="AR35" s="436"/>
      <c r="AS35" s="437"/>
      <c r="AT35" s="437">
        <f t="shared" si="18"/>
        <v>241025.62499999997</v>
      </c>
      <c r="AU35" s="437"/>
      <c r="AV35" s="437"/>
      <c r="AW35" s="94"/>
    </row>
    <row r="36" spans="1:49" ht="36" customHeight="1">
      <c r="A36" s="5"/>
      <c r="B36" s="625">
        <v>68</v>
      </c>
      <c r="C36" s="6" t="s">
        <v>6</v>
      </c>
      <c r="D36" s="371" t="s">
        <v>7</v>
      </c>
      <c r="E36" s="7" t="s">
        <v>1543</v>
      </c>
      <c r="F36" s="9" t="s">
        <v>1206</v>
      </c>
      <c r="G36" s="8"/>
      <c r="H36" s="600">
        <v>400000</v>
      </c>
      <c r="I36" s="49">
        <v>2</v>
      </c>
      <c r="J36" s="55">
        <v>0</v>
      </c>
      <c r="K36" s="49"/>
      <c r="L36" s="56"/>
      <c r="M36" s="61">
        <v>6.0000000000000036</v>
      </c>
      <c r="N36" s="62">
        <v>8</v>
      </c>
      <c r="O36" s="62">
        <v>5.0000000000000027</v>
      </c>
      <c r="P36" s="62">
        <v>4.0000000000000027</v>
      </c>
      <c r="Q36" s="62">
        <v>6.0000000000000036</v>
      </c>
      <c r="R36" s="62">
        <v>6.0000000000000036</v>
      </c>
      <c r="S36" s="62">
        <v>0</v>
      </c>
      <c r="T36" s="63">
        <v>6</v>
      </c>
      <c r="U36" s="66" t="e">
        <f t="shared" ca="1" si="0"/>
        <v>#DIV/0!</v>
      </c>
      <c r="V36" s="66">
        <f t="shared" ca="1" si="1"/>
        <v>0</v>
      </c>
      <c r="W36" s="70">
        <f t="shared" si="2"/>
        <v>0.94736842105263208</v>
      </c>
      <c r="X36" s="70">
        <f t="shared" si="3"/>
        <v>0.84210526315789469</v>
      </c>
      <c r="Y36" s="70">
        <f t="shared" si="4"/>
        <v>0.70175438596491269</v>
      </c>
      <c r="Z36" s="70">
        <f t="shared" si="5"/>
        <v>0.7017543859649128</v>
      </c>
      <c r="AA36" s="70">
        <f t="shared" si="6"/>
        <v>0.52631578947368451</v>
      </c>
      <c r="AB36" s="70">
        <f t="shared" si="7"/>
        <v>0.73684210526315841</v>
      </c>
      <c r="AC36" s="70">
        <f t="shared" si="8"/>
        <v>0</v>
      </c>
      <c r="AD36" s="71">
        <f t="shared" si="9"/>
        <v>0.63157894736842102</v>
      </c>
      <c r="AE36" s="72">
        <f t="shared" si="10"/>
        <v>0.8</v>
      </c>
      <c r="AF36" s="72">
        <f t="shared" ca="1" si="11"/>
        <v>1</v>
      </c>
      <c r="AG36" s="73">
        <f t="shared" ca="1" si="12"/>
        <v>0.8666666666666667</v>
      </c>
      <c r="AH36" s="456">
        <f t="shared" si="13"/>
        <v>5.0877192982456165</v>
      </c>
      <c r="AI36" s="467">
        <f t="shared" ca="1" si="14"/>
        <v>44.093567251462019</v>
      </c>
      <c r="AJ36" s="458" t="str">
        <f t="shared" ca="1" si="15"/>
        <v>Q2</v>
      </c>
      <c r="AK36" s="93" t="s">
        <v>360</v>
      </c>
      <c r="AL36" s="110"/>
      <c r="AM36" s="117"/>
      <c r="AN36" s="113"/>
      <c r="AO36" s="121">
        <v>100000</v>
      </c>
      <c r="AP36" s="119"/>
      <c r="AQ36" s="121"/>
      <c r="AR36" s="436"/>
      <c r="AS36" s="437"/>
      <c r="AT36" s="437">
        <f t="shared" si="18"/>
        <v>107122.49999999999</v>
      </c>
      <c r="AU36" s="437"/>
      <c r="AV36" s="437"/>
      <c r="AW36" s="94"/>
    </row>
    <row r="37" spans="1:49" s="228" customFormat="1" ht="36" customHeight="1">
      <c r="A37" s="5"/>
      <c r="B37" s="625">
        <v>69</v>
      </c>
      <c r="C37" s="14" t="s">
        <v>8</v>
      </c>
      <c r="D37" s="442" t="s">
        <v>7</v>
      </c>
      <c r="E37" s="10" t="s">
        <v>56</v>
      </c>
      <c r="F37" s="9" t="s">
        <v>1207</v>
      </c>
      <c r="G37" s="8"/>
      <c r="H37" s="608">
        <v>425000</v>
      </c>
      <c r="I37" s="49">
        <v>3</v>
      </c>
      <c r="J37" s="55">
        <v>0.3</v>
      </c>
      <c r="K37" s="49"/>
      <c r="L37" s="56"/>
      <c r="M37" s="61">
        <v>8</v>
      </c>
      <c r="N37" s="62">
        <v>6</v>
      </c>
      <c r="O37" s="62">
        <v>6.0000000000000036</v>
      </c>
      <c r="P37" s="62">
        <v>6.0000000000000036</v>
      </c>
      <c r="Q37" s="62">
        <v>8.0000000000000053</v>
      </c>
      <c r="R37" s="62">
        <v>6.0000000000000036</v>
      </c>
      <c r="S37" s="62">
        <v>2</v>
      </c>
      <c r="T37" s="63">
        <v>8.0000000000000053</v>
      </c>
      <c r="U37" s="66" t="e">
        <f t="shared" ca="1" si="0"/>
        <v>#DIV/0!</v>
      </c>
      <c r="V37" s="66">
        <f t="shared" ca="1" si="1"/>
        <v>0.3</v>
      </c>
      <c r="W37" s="70">
        <f t="shared" si="2"/>
        <v>1.263157894736842</v>
      </c>
      <c r="X37" s="70">
        <f t="shared" si="3"/>
        <v>0.63157894736842102</v>
      </c>
      <c r="Y37" s="70">
        <f t="shared" si="4"/>
        <v>0.84210526315789525</v>
      </c>
      <c r="Z37" s="70">
        <f t="shared" si="5"/>
        <v>1.052631578947369</v>
      </c>
      <c r="AA37" s="70">
        <f t="shared" si="6"/>
        <v>0.7017543859649128</v>
      </c>
      <c r="AB37" s="70">
        <f t="shared" si="7"/>
        <v>0.73684210526315841</v>
      </c>
      <c r="AC37" s="70">
        <f t="shared" si="8"/>
        <v>0.21052631578947367</v>
      </c>
      <c r="AD37" s="71">
        <f t="shared" si="9"/>
        <v>0.84210526315789525</v>
      </c>
      <c r="AE37" s="72">
        <f t="shared" si="10"/>
        <v>0.7</v>
      </c>
      <c r="AF37" s="72">
        <f t="shared" ca="1" si="11"/>
        <v>0.7</v>
      </c>
      <c r="AG37" s="73">
        <f t="shared" ca="1" si="12"/>
        <v>0.69999999999999984</v>
      </c>
      <c r="AH37" s="456">
        <f t="shared" si="13"/>
        <v>6.2807017543859676</v>
      </c>
      <c r="AI37" s="467">
        <f t="shared" ca="1" si="14"/>
        <v>43.96491228070176</v>
      </c>
      <c r="AJ37" s="458" t="str">
        <f t="shared" ca="1" si="15"/>
        <v>Q3</v>
      </c>
      <c r="AK37" s="93" t="s">
        <v>360</v>
      </c>
      <c r="AL37" s="110"/>
      <c r="AM37" s="117"/>
      <c r="AN37" s="113"/>
      <c r="AO37" s="113">
        <v>125000</v>
      </c>
      <c r="AP37" s="113"/>
      <c r="AQ37" s="121"/>
      <c r="AR37" s="438"/>
      <c r="AS37" s="437"/>
      <c r="AT37" s="437">
        <f t="shared" si="18"/>
        <v>133903.12499999997</v>
      </c>
      <c r="AU37" s="437"/>
      <c r="AV37" s="437"/>
      <c r="AW37" s="94"/>
    </row>
    <row r="38" spans="1:49" s="310" customFormat="1" ht="36" customHeight="1">
      <c r="A38" s="1">
        <v>82</v>
      </c>
      <c r="B38" s="625">
        <v>70</v>
      </c>
      <c r="C38" s="2" t="s">
        <v>12</v>
      </c>
      <c r="D38" s="370" t="s">
        <v>7</v>
      </c>
      <c r="E38" s="3" t="s">
        <v>1113</v>
      </c>
      <c r="F38" s="4" t="s">
        <v>1191</v>
      </c>
      <c r="G38" s="375" t="s">
        <v>67</v>
      </c>
      <c r="H38" s="599">
        <v>75000</v>
      </c>
      <c r="I38" s="376">
        <v>3</v>
      </c>
      <c r="J38" s="377">
        <v>0.1</v>
      </c>
      <c r="K38" s="376"/>
      <c r="L38" s="378"/>
      <c r="M38" s="61">
        <v>5</v>
      </c>
      <c r="N38" s="62">
        <v>5.0000000000000027</v>
      </c>
      <c r="O38" s="62">
        <v>9.0000000000000018</v>
      </c>
      <c r="P38" s="62">
        <v>4.0000000000000027</v>
      </c>
      <c r="Q38" s="62">
        <v>5</v>
      </c>
      <c r="R38" s="62">
        <v>6.0000000000000036</v>
      </c>
      <c r="S38" s="62">
        <v>6</v>
      </c>
      <c r="T38" s="63">
        <v>6.0000000000000036</v>
      </c>
      <c r="U38" s="66" t="e">
        <f t="shared" ref="U38:U69" ca="1" si="19">(L38-(YEAR(TODAY())-K38))/L38</f>
        <v>#DIV/0!</v>
      </c>
      <c r="V38" s="66">
        <f t="shared" ref="V38:V69" ca="1" si="20">IFERROR(U38,J38)</f>
        <v>0.1</v>
      </c>
      <c r="W38" s="70">
        <f t="shared" ref="W38:W69" si="21">M38*Weight1/(WSum)</f>
        <v>0.78947368421052633</v>
      </c>
      <c r="X38" s="70">
        <f t="shared" ref="X38:X69" si="22">N38*Weight2/(WSum)</f>
        <v>0.52631578947368451</v>
      </c>
      <c r="Y38" s="70">
        <f t="shared" ref="Y38:Y69" si="23">O38*Weight3/(WSum)</f>
        <v>1.2631578947368423</v>
      </c>
      <c r="Z38" s="70">
        <f t="shared" ref="Z38:Z69" si="24">P38*Weight4/(WSum)</f>
        <v>0.7017543859649128</v>
      </c>
      <c r="AA38" s="70">
        <f t="shared" ref="AA38:AA69" si="25">Q38*Weight5/(WSum)</f>
        <v>0.43859649122807015</v>
      </c>
      <c r="AB38" s="70">
        <f t="shared" ref="AB38:AB69" si="26">R38*Weight6/(WSum)</f>
        <v>0.73684210526315841</v>
      </c>
      <c r="AC38" s="70">
        <f t="shared" ref="AC38:AC69" si="27">S38*Weight7/(WSum)</f>
        <v>0.63157894736842102</v>
      </c>
      <c r="AD38" s="71">
        <f t="shared" ref="AD38:AD69" si="28">T38*Weight8/(WSum)</f>
        <v>0.63157894736842146</v>
      </c>
      <c r="AE38" s="72">
        <f t="shared" ref="AE38:AE69" si="29">-1/10*I38+1</f>
        <v>0.7</v>
      </c>
      <c r="AF38" s="72">
        <f t="shared" ref="AF38:AF69" ca="1" si="30">IF(V38&lt;0,0,-V38+1)</f>
        <v>0.9</v>
      </c>
      <c r="AG38" s="73">
        <f t="shared" ref="AG38:AG69" ca="1" si="31">(AE38*CondWeight+AF38*PLifeWeight)/(CondWeight+PLifeWeight)</f>
        <v>0.76666666666666661</v>
      </c>
      <c r="AH38" s="456">
        <f t="shared" ref="AH38:AH69" si="32">SUM(W38:AD38)</f>
        <v>5.7192982456140369</v>
      </c>
      <c r="AI38" s="467">
        <f t="shared" ref="AI38:AI69" ca="1" si="33">AH38*AG38*10</f>
        <v>43.847953216374279</v>
      </c>
      <c r="AJ38" s="458" t="str">
        <f t="shared" ref="AJ38:AJ69" ca="1" si="34">IF(AG38&gt;$AG$2,IF(AH38&gt;$AH$2,"Q1","Q2"),IF(AH38&gt;$AH$2,"Q3","Q4"))</f>
        <v>Q2</v>
      </c>
      <c r="AK38" s="91" t="s">
        <v>360</v>
      </c>
      <c r="AL38" s="570"/>
      <c r="AM38" s="117"/>
      <c r="AN38" s="113"/>
      <c r="AO38" s="113">
        <v>75000</v>
      </c>
      <c r="AP38" s="113"/>
      <c r="AQ38" s="121"/>
      <c r="AR38" s="438"/>
      <c r="AS38" s="437"/>
      <c r="AT38" s="437">
        <f t="shared" si="18"/>
        <v>80341.874999999985</v>
      </c>
      <c r="AU38" s="437"/>
      <c r="AV38" s="437"/>
      <c r="AW38" s="92"/>
    </row>
    <row r="39" spans="1:49" s="310" customFormat="1" ht="36" customHeight="1">
      <c r="A39" s="1"/>
      <c r="B39" s="625">
        <v>71</v>
      </c>
      <c r="C39" s="6" t="s">
        <v>6</v>
      </c>
      <c r="D39" s="371" t="s">
        <v>7</v>
      </c>
      <c r="E39" s="7" t="s">
        <v>68</v>
      </c>
      <c r="F39" s="9" t="s">
        <v>1208</v>
      </c>
      <c r="G39" s="8"/>
      <c r="H39" s="679">
        <v>450000</v>
      </c>
      <c r="I39" s="376">
        <v>3</v>
      </c>
      <c r="J39" s="377">
        <v>0</v>
      </c>
      <c r="K39" s="376"/>
      <c r="L39" s="378"/>
      <c r="M39" s="61">
        <v>6.0000000000000036</v>
      </c>
      <c r="N39" s="62">
        <v>8.0000000000000053</v>
      </c>
      <c r="O39" s="62">
        <v>5.0000000000000027</v>
      </c>
      <c r="P39" s="62">
        <v>4</v>
      </c>
      <c r="Q39" s="62">
        <v>2</v>
      </c>
      <c r="R39" s="62">
        <v>6.0000000000000036</v>
      </c>
      <c r="S39" s="62">
        <v>5</v>
      </c>
      <c r="T39" s="63">
        <v>8.0000000000000053</v>
      </c>
      <c r="U39" s="66" t="e">
        <f t="shared" ca="1" si="19"/>
        <v>#DIV/0!</v>
      </c>
      <c r="V39" s="66">
        <f t="shared" ca="1" si="20"/>
        <v>0</v>
      </c>
      <c r="W39" s="70">
        <f t="shared" si="21"/>
        <v>0.94736842105263208</v>
      </c>
      <c r="X39" s="70">
        <f t="shared" si="22"/>
        <v>0.84210526315789525</v>
      </c>
      <c r="Y39" s="70">
        <f t="shared" si="23"/>
        <v>0.70175438596491269</v>
      </c>
      <c r="Z39" s="70">
        <f t="shared" si="24"/>
        <v>0.70175438596491224</v>
      </c>
      <c r="AA39" s="70">
        <f t="shared" si="25"/>
        <v>0.17543859649122806</v>
      </c>
      <c r="AB39" s="70">
        <f t="shared" si="26"/>
        <v>0.73684210526315841</v>
      </c>
      <c r="AC39" s="70">
        <f t="shared" si="27"/>
        <v>0.52631578947368418</v>
      </c>
      <c r="AD39" s="71">
        <f t="shared" si="28"/>
        <v>0.84210526315789525</v>
      </c>
      <c r="AE39" s="72">
        <f t="shared" si="29"/>
        <v>0.7</v>
      </c>
      <c r="AF39" s="72">
        <f t="shared" ca="1" si="30"/>
        <v>1</v>
      </c>
      <c r="AG39" s="73">
        <f t="shared" ca="1" si="31"/>
        <v>0.79999999999999993</v>
      </c>
      <c r="AH39" s="456">
        <f t="shared" si="32"/>
        <v>5.4736842105263186</v>
      </c>
      <c r="AI39" s="467">
        <f t="shared" ca="1" si="33"/>
        <v>43.789473684210549</v>
      </c>
      <c r="AJ39" s="458" t="str">
        <f t="shared" ca="1" si="34"/>
        <v>Q2</v>
      </c>
      <c r="AK39" s="93" t="s">
        <v>360</v>
      </c>
      <c r="AL39" s="570"/>
      <c r="AM39" s="123"/>
      <c r="AN39" s="119"/>
      <c r="AO39" s="119">
        <v>100000</v>
      </c>
      <c r="AP39" s="119">
        <v>350000</v>
      </c>
      <c r="AQ39" s="119"/>
      <c r="AR39" s="439"/>
      <c r="AS39" s="439"/>
      <c r="AT39" s="439">
        <f t="shared" si="18"/>
        <v>107122.49999999999</v>
      </c>
      <c r="AU39" s="439">
        <f>AP39*(1+Efactor)^3</f>
        <v>388051.25624999992</v>
      </c>
      <c r="AV39" s="439"/>
      <c r="AW39" s="92"/>
    </row>
    <row r="40" spans="1:49" ht="36" customHeight="1">
      <c r="A40" s="1"/>
      <c r="B40" s="625">
        <v>72</v>
      </c>
      <c r="C40" s="2" t="s">
        <v>20</v>
      </c>
      <c r="D40" s="370" t="s">
        <v>418</v>
      </c>
      <c r="E40" s="716" t="s">
        <v>1256</v>
      </c>
      <c r="F40" s="521" t="s">
        <v>1418</v>
      </c>
      <c r="G40" s="375"/>
      <c r="H40" s="601">
        <v>270000</v>
      </c>
      <c r="I40" s="380">
        <v>2</v>
      </c>
      <c r="J40" s="377">
        <v>0.2</v>
      </c>
      <c r="K40" s="376"/>
      <c r="L40" s="378"/>
      <c r="M40" s="61">
        <v>6</v>
      </c>
      <c r="N40" s="62">
        <v>7</v>
      </c>
      <c r="O40" s="62">
        <v>6</v>
      </c>
      <c r="P40" s="62">
        <v>7</v>
      </c>
      <c r="Q40" s="62">
        <v>3</v>
      </c>
      <c r="R40" s="62">
        <v>5</v>
      </c>
      <c r="S40" s="62">
        <v>0</v>
      </c>
      <c r="T40" s="63">
        <v>8</v>
      </c>
      <c r="U40" s="379" t="e">
        <f t="shared" ca="1" si="19"/>
        <v>#DIV/0!</v>
      </c>
      <c r="V40" s="379">
        <f t="shared" ca="1" si="20"/>
        <v>0.2</v>
      </c>
      <c r="W40" s="70">
        <f t="shared" si="21"/>
        <v>0.94736842105263153</v>
      </c>
      <c r="X40" s="70">
        <f t="shared" si="22"/>
        <v>0.73684210526315785</v>
      </c>
      <c r="Y40" s="70">
        <f t="shared" si="23"/>
        <v>0.84210526315789469</v>
      </c>
      <c r="Z40" s="70">
        <f t="shared" si="24"/>
        <v>1.2280701754385965</v>
      </c>
      <c r="AA40" s="70">
        <f t="shared" si="25"/>
        <v>0.26315789473684209</v>
      </c>
      <c r="AB40" s="70">
        <f t="shared" si="26"/>
        <v>0.61403508771929827</v>
      </c>
      <c r="AC40" s="70">
        <f t="shared" si="27"/>
        <v>0</v>
      </c>
      <c r="AD40" s="71">
        <f t="shared" si="28"/>
        <v>0.84210526315789469</v>
      </c>
      <c r="AE40" s="72">
        <f t="shared" si="29"/>
        <v>0.8</v>
      </c>
      <c r="AF40" s="72">
        <f t="shared" ca="1" si="30"/>
        <v>0.8</v>
      </c>
      <c r="AG40" s="73">
        <f t="shared" ca="1" si="31"/>
        <v>0.80000000000000016</v>
      </c>
      <c r="AH40" s="455">
        <f t="shared" si="32"/>
        <v>5.4736842105263159</v>
      </c>
      <c r="AI40" s="466">
        <f t="shared" ca="1" si="33"/>
        <v>43.789473684210535</v>
      </c>
      <c r="AJ40" s="458" t="str">
        <f t="shared" ca="1" si="34"/>
        <v>Q2</v>
      </c>
      <c r="AK40" s="373" t="s">
        <v>360</v>
      </c>
      <c r="AL40" s="111"/>
      <c r="AM40" s="117"/>
      <c r="AN40" s="113"/>
      <c r="AO40" s="113">
        <v>270000</v>
      </c>
      <c r="AP40" s="113"/>
      <c r="AQ40" s="121"/>
      <c r="AR40" s="436"/>
      <c r="AS40" s="437"/>
      <c r="AT40" s="437">
        <f t="shared" si="18"/>
        <v>289230.74999999994</v>
      </c>
      <c r="AU40" s="437"/>
      <c r="AV40" s="437"/>
      <c r="AW40" s="92"/>
    </row>
    <row r="41" spans="1:49" ht="36" customHeight="1">
      <c r="A41" s="1">
        <v>70</v>
      </c>
      <c r="B41" s="625">
        <v>75</v>
      </c>
      <c r="C41" s="425" t="s">
        <v>8</v>
      </c>
      <c r="D41" s="426" t="s">
        <v>7</v>
      </c>
      <c r="E41" s="3" t="s">
        <v>97</v>
      </c>
      <c r="F41" s="4" t="s">
        <v>1503</v>
      </c>
      <c r="G41" s="4" t="s">
        <v>98</v>
      </c>
      <c r="H41" s="605">
        <v>425000</v>
      </c>
      <c r="I41" s="380">
        <v>3</v>
      </c>
      <c r="J41" s="377">
        <v>0.1</v>
      </c>
      <c r="K41" s="376"/>
      <c r="L41" s="378"/>
      <c r="M41" s="61">
        <v>7</v>
      </c>
      <c r="N41" s="62">
        <v>6.0000000000000036</v>
      </c>
      <c r="O41" s="62">
        <v>6.0000000000000036</v>
      </c>
      <c r="P41" s="62">
        <v>5</v>
      </c>
      <c r="Q41" s="62">
        <v>4.0000000000000027</v>
      </c>
      <c r="R41" s="62">
        <v>6.0000000000000036</v>
      </c>
      <c r="S41" s="62">
        <v>4</v>
      </c>
      <c r="T41" s="63">
        <v>7</v>
      </c>
      <c r="U41" s="379" t="e">
        <f t="shared" ca="1" si="19"/>
        <v>#DIV/0!</v>
      </c>
      <c r="V41" s="379">
        <f t="shared" ca="1" si="20"/>
        <v>0.1</v>
      </c>
      <c r="W41" s="70">
        <f t="shared" si="21"/>
        <v>1.1052631578947369</v>
      </c>
      <c r="X41" s="70">
        <f t="shared" si="22"/>
        <v>0.63157894736842146</v>
      </c>
      <c r="Y41" s="70">
        <f t="shared" si="23"/>
        <v>0.84210526315789525</v>
      </c>
      <c r="Z41" s="70">
        <f t="shared" si="24"/>
        <v>0.8771929824561403</v>
      </c>
      <c r="AA41" s="70">
        <f t="shared" si="25"/>
        <v>0.3508771929824564</v>
      </c>
      <c r="AB41" s="70">
        <f t="shared" si="26"/>
        <v>0.73684210526315841</v>
      </c>
      <c r="AC41" s="70">
        <f t="shared" si="27"/>
        <v>0.42105263157894735</v>
      </c>
      <c r="AD41" s="71">
        <f t="shared" si="28"/>
        <v>0.73684210526315785</v>
      </c>
      <c r="AE41" s="72">
        <f t="shared" si="29"/>
        <v>0.7</v>
      </c>
      <c r="AF41" s="72">
        <f t="shared" ca="1" si="30"/>
        <v>0.9</v>
      </c>
      <c r="AG41" s="73">
        <f t="shared" ca="1" si="31"/>
        <v>0.76666666666666661</v>
      </c>
      <c r="AH41" s="455">
        <f t="shared" si="32"/>
        <v>5.7017543859649127</v>
      </c>
      <c r="AI41" s="466">
        <f t="shared" ca="1" si="33"/>
        <v>43.71345029239766</v>
      </c>
      <c r="AJ41" s="458" t="str">
        <f t="shared" ca="1" si="34"/>
        <v>Q2</v>
      </c>
      <c r="AK41" s="373" t="s">
        <v>360</v>
      </c>
      <c r="AL41" s="685" t="s">
        <v>514</v>
      </c>
      <c r="AM41" s="117"/>
      <c r="AN41" s="113"/>
      <c r="AO41" s="113">
        <v>250000</v>
      </c>
      <c r="AP41" s="113">
        <v>125000</v>
      </c>
      <c r="AQ41" s="121"/>
      <c r="AR41" s="436"/>
      <c r="AS41" s="437"/>
      <c r="AT41" s="437">
        <f t="shared" si="18"/>
        <v>267806.24999999994</v>
      </c>
      <c r="AU41" s="437">
        <f>AP41*(1+Efactor)^3</f>
        <v>138589.73437499997</v>
      </c>
      <c r="AV41" s="437"/>
      <c r="AW41" s="496"/>
    </row>
    <row r="42" spans="1:49" ht="36" customHeight="1">
      <c r="A42" s="5">
        <v>74</v>
      </c>
      <c r="B42" s="625">
        <v>76</v>
      </c>
      <c r="C42" s="6" t="s">
        <v>18</v>
      </c>
      <c r="D42" s="371" t="s">
        <v>7</v>
      </c>
      <c r="E42" s="26" t="s">
        <v>72</v>
      </c>
      <c r="F42" s="27" t="s">
        <v>1385</v>
      </c>
      <c r="G42" s="20" t="s">
        <v>73</v>
      </c>
      <c r="H42" s="603">
        <v>250000</v>
      </c>
      <c r="I42" s="50">
        <v>2</v>
      </c>
      <c r="J42" s="55">
        <v>0.1</v>
      </c>
      <c r="K42" s="49"/>
      <c r="L42" s="56"/>
      <c r="M42" s="61">
        <v>6.0000000000000036</v>
      </c>
      <c r="N42" s="62">
        <v>8</v>
      </c>
      <c r="O42" s="62">
        <v>4</v>
      </c>
      <c r="P42" s="62">
        <v>4.0000000000000027</v>
      </c>
      <c r="Q42" s="62">
        <v>2</v>
      </c>
      <c r="R42" s="62">
        <v>6.0000000000000036</v>
      </c>
      <c r="S42" s="62">
        <v>4</v>
      </c>
      <c r="T42" s="63">
        <v>8.0000000000000053</v>
      </c>
      <c r="U42" s="66" t="e">
        <f t="shared" ca="1" si="19"/>
        <v>#DIV/0!</v>
      </c>
      <c r="V42" s="66">
        <f t="shared" ca="1" si="20"/>
        <v>0.1</v>
      </c>
      <c r="W42" s="70">
        <f t="shared" si="21"/>
        <v>0.94736842105263208</v>
      </c>
      <c r="X42" s="70">
        <f t="shared" si="22"/>
        <v>0.84210526315789469</v>
      </c>
      <c r="Y42" s="70">
        <f t="shared" si="23"/>
        <v>0.56140350877192979</v>
      </c>
      <c r="Z42" s="70">
        <f t="shared" si="24"/>
        <v>0.7017543859649128</v>
      </c>
      <c r="AA42" s="70">
        <f t="shared" si="25"/>
        <v>0.17543859649122806</v>
      </c>
      <c r="AB42" s="70">
        <f t="shared" si="26"/>
        <v>0.73684210526315841</v>
      </c>
      <c r="AC42" s="70">
        <f t="shared" si="27"/>
        <v>0.42105263157894735</v>
      </c>
      <c r="AD42" s="71">
        <f t="shared" si="28"/>
        <v>0.84210526315789525</v>
      </c>
      <c r="AE42" s="72">
        <f t="shared" si="29"/>
        <v>0.8</v>
      </c>
      <c r="AF42" s="72">
        <f t="shared" ca="1" si="30"/>
        <v>0.9</v>
      </c>
      <c r="AG42" s="73">
        <f t="shared" ca="1" si="31"/>
        <v>0.83333333333333337</v>
      </c>
      <c r="AH42" s="456">
        <f t="shared" si="32"/>
        <v>5.2280701754385985</v>
      </c>
      <c r="AI42" s="467">
        <f t="shared" ca="1" si="33"/>
        <v>43.567251461988327</v>
      </c>
      <c r="AJ42" s="458" t="str">
        <f t="shared" ca="1" si="34"/>
        <v>Q2</v>
      </c>
      <c r="AK42" s="95" t="s">
        <v>360</v>
      </c>
      <c r="AL42" s="572"/>
      <c r="AM42" s="117"/>
      <c r="AN42" s="113"/>
      <c r="AO42" s="113">
        <v>150000</v>
      </c>
      <c r="AP42" s="113"/>
      <c r="AQ42" s="121"/>
      <c r="AR42" s="436"/>
      <c r="AS42" s="437"/>
      <c r="AT42" s="437">
        <f t="shared" si="18"/>
        <v>160683.74999999997</v>
      </c>
      <c r="AU42" s="437"/>
      <c r="AV42" s="437"/>
      <c r="AW42" s="94"/>
    </row>
    <row r="43" spans="1:49" ht="36" customHeight="1">
      <c r="A43" s="5"/>
      <c r="B43" s="625">
        <v>78</v>
      </c>
      <c r="C43" s="6" t="s">
        <v>6</v>
      </c>
      <c r="D43" s="371" t="s">
        <v>7</v>
      </c>
      <c r="E43" s="7" t="s">
        <v>80</v>
      </c>
      <c r="F43" s="9" t="s">
        <v>1265</v>
      </c>
      <c r="G43" s="9" t="s">
        <v>1264</v>
      </c>
      <c r="H43" s="600">
        <v>375000</v>
      </c>
      <c r="I43" s="49">
        <v>3</v>
      </c>
      <c r="J43" s="55">
        <v>0</v>
      </c>
      <c r="K43" s="49"/>
      <c r="L43" s="56"/>
      <c r="M43" s="61">
        <v>6.0000000000000036</v>
      </c>
      <c r="N43" s="62">
        <v>8.0000000000000053</v>
      </c>
      <c r="O43" s="62">
        <v>4</v>
      </c>
      <c r="P43" s="62">
        <v>4.0000000000000027</v>
      </c>
      <c r="Q43" s="62">
        <v>6.0000000000000036</v>
      </c>
      <c r="R43" s="62">
        <v>4</v>
      </c>
      <c r="S43" s="62">
        <v>5</v>
      </c>
      <c r="T43" s="63">
        <v>8</v>
      </c>
      <c r="U43" s="66" t="e">
        <f t="shared" ca="1" si="19"/>
        <v>#DIV/0!</v>
      </c>
      <c r="V43" s="66">
        <f t="shared" ca="1" si="20"/>
        <v>0</v>
      </c>
      <c r="W43" s="70">
        <f t="shared" si="21"/>
        <v>0.94736842105263208</v>
      </c>
      <c r="X43" s="70">
        <f t="shared" si="22"/>
        <v>0.84210526315789525</v>
      </c>
      <c r="Y43" s="70">
        <f t="shared" si="23"/>
        <v>0.56140350877192979</v>
      </c>
      <c r="Z43" s="70">
        <f t="shared" si="24"/>
        <v>0.7017543859649128</v>
      </c>
      <c r="AA43" s="70">
        <f t="shared" si="25"/>
        <v>0.52631578947368451</v>
      </c>
      <c r="AB43" s="70">
        <f t="shared" si="26"/>
        <v>0.49122807017543857</v>
      </c>
      <c r="AC43" s="70">
        <f t="shared" si="27"/>
        <v>0.52631578947368418</v>
      </c>
      <c r="AD43" s="71">
        <f t="shared" si="28"/>
        <v>0.84210526315789469</v>
      </c>
      <c r="AE43" s="72">
        <f t="shared" si="29"/>
        <v>0.7</v>
      </c>
      <c r="AF43" s="72">
        <f t="shared" ca="1" si="30"/>
        <v>1</v>
      </c>
      <c r="AG43" s="73">
        <f t="shared" ca="1" si="31"/>
        <v>0.79999999999999993</v>
      </c>
      <c r="AH43" s="456">
        <f t="shared" si="32"/>
        <v>5.438596491228072</v>
      </c>
      <c r="AI43" s="467">
        <f t="shared" ca="1" si="33"/>
        <v>43.508771929824576</v>
      </c>
      <c r="AJ43" s="458" t="str">
        <f t="shared" ca="1" si="34"/>
        <v>Q2</v>
      </c>
      <c r="AK43" s="93" t="s">
        <v>360</v>
      </c>
      <c r="AL43" s="571"/>
      <c r="AM43" s="122"/>
      <c r="AN43" s="119"/>
      <c r="AO43" s="113">
        <v>375000</v>
      </c>
      <c r="AP43" s="113"/>
      <c r="AQ43" s="121"/>
      <c r="AR43" s="436"/>
      <c r="AS43" s="437"/>
      <c r="AT43" s="437">
        <f t="shared" si="18"/>
        <v>401709.37499999994</v>
      </c>
      <c r="AU43" s="437"/>
      <c r="AV43" s="437"/>
      <c r="AW43" s="94"/>
    </row>
    <row r="44" spans="1:49" ht="37.5" customHeight="1">
      <c r="A44" s="5"/>
      <c r="B44" s="625">
        <v>88</v>
      </c>
      <c r="C44" s="14" t="s">
        <v>6</v>
      </c>
      <c r="D44" s="442" t="s">
        <v>7</v>
      </c>
      <c r="E44" s="7" t="s">
        <v>62</v>
      </c>
      <c r="F44" s="9" t="s">
        <v>1198</v>
      </c>
      <c r="G44" s="8"/>
      <c r="H44" s="600">
        <v>250000</v>
      </c>
      <c r="I44" s="49">
        <v>3</v>
      </c>
      <c r="J44" s="55">
        <v>0.1</v>
      </c>
      <c r="K44" s="49"/>
      <c r="L44" s="56"/>
      <c r="M44" s="61">
        <v>6.0000000000000036</v>
      </c>
      <c r="N44" s="62">
        <v>8</v>
      </c>
      <c r="O44" s="62">
        <v>3</v>
      </c>
      <c r="P44" s="62">
        <v>4</v>
      </c>
      <c r="Q44" s="62">
        <v>1</v>
      </c>
      <c r="R44" s="62">
        <v>6</v>
      </c>
      <c r="S44" s="62">
        <v>6</v>
      </c>
      <c r="T44" s="63">
        <v>9</v>
      </c>
      <c r="U44" s="66" t="e">
        <f t="shared" ca="1" si="19"/>
        <v>#DIV/0!</v>
      </c>
      <c r="V44" s="66">
        <f t="shared" ca="1" si="20"/>
        <v>0.1</v>
      </c>
      <c r="W44" s="70">
        <f t="shared" si="21"/>
        <v>0.94736842105263208</v>
      </c>
      <c r="X44" s="70">
        <f t="shared" si="22"/>
        <v>0.84210526315789469</v>
      </c>
      <c r="Y44" s="70">
        <f t="shared" si="23"/>
        <v>0.42105263157894735</v>
      </c>
      <c r="Z44" s="70">
        <f t="shared" si="24"/>
        <v>0.70175438596491224</v>
      </c>
      <c r="AA44" s="70">
        <f t="shared" si="25"/>
        <v>8.771929824561403E-2</v>
      </c>
      <c r="AB44" s="70">
        <f t="shared" si="26"/>
        <v>0.73684210526315785</v>
      </c>
      <c r="AC44" s="70">
        <f t="shared" si="27"/>
        <v>0.63157894736842102</v>
      </c>
      <c r="AD44" s="71">
        <f t="shared" si="28"/>
        <v>0.94736842105263153</v>
      </c>
      <c r="AE44" s="72">
        <f t="shared" si="29"/>
        <v>0.7</v>
      </c>
      <c r="AF44" s="72">
        <f t="shared" ca="1" si="30"/>
        <v>0.9</v>
      </c>
      <c r="AG44" s="73">
        <f t="shared" ca="1" si="31"/>
        <v>0.76666666666666661</v>
      </c>
      <c r="AH44" s="456">
        <f t="shared" si="32"/>
        <v>5.3157894736842115</v>
      </c>
      <c r="AI44" s="467">
        <f t="shared" ca="1" si="33"/>
        <v>40.754385964912281</v>
      </c>
      <c r="AJ44" s="458" t="str">
        <f t="shared" ca="1" si="34"/>
        <v>Q2</v>
      </c>
      <c r="AK44" s="93" t="s">
        <v>360</v>
      </c>
      <c r="AL44" s="570"/>
      <c r="AM44" s="117"/>
      <c r="AN44" s="113"/>
      <c r="AO44" s="113"/>
      <c r="AP44" s="113">
        <v>250000</v>
      </c>
      <c r="AQ44" s="121"/>
      <c r="AR44" s="436"/>
      <c r="AS44" s="437"/>
      <c r="AT44" s="437"/>
      <c r="AU44" s="437">
        <f t="shared" ref="AU44:AU50" si="35">AP44*(1+Efactor)^3</f>
        <v>277179.46874999994</v>
      </c>
      <c r="AV44" s="437"/>
      <c r="AW44" s="94"/>
    </row>
    <row r="45" spans="1:49" ht="37.5" customHeight="1">
      <c r="A45" s="5"/>
      <c r="B45" s="625">
        <v>92</v>
      </c>
      <c r="C45" s="6" t="s">
        <v>20</v>
      </c>
      <c r="D45" s="371" t="s">
        <v>7</v>
      </c>
      <c r="E45" s="18" t="s">
        <v>86</v>
      </c>
      <c r="F45" s="20" t="s">
        <v>1182</v>
      </c>
      <c r="G45" s="20" t="s">
        <v>87</v>
      </c>
      <c r="H45" s="604">
        <v>400000</v>
      </c>
      <c r="I45" s="50">
        <v>2</v>
      </c>
      <c r="J45" s="55">
        <v>0.1</v>
      </c>
      <c r="K45" s="49"/>
      <c r="L45" s="56"/>
      <c r="M45" s="61">
        <v>8.0000000000000053</v>
      </c>
      <c r="N45" s="62">
        <v>4</v>
      </c>
      <c r="O45" s="62">
        <v>2</v>
      </c>
      <c r="P45" s="62">
        <v>8.0000000000000053</v>
      </c>
      <c r="Q45" s="62">
        <v>2</v>
      </c>
      <c r="R45" s="62">
        <v>2</v>
      </c>
      <c r="S45" s="62">
        <v>2</v>
      </c>
      <c r="T45" s="63">
        <v>8.0000000000000053</v>
      </c>
      <c r="U45" s="66" t="e">
        <f t="shared" ca="1" si="19"/>
        <v>#DIV/0!</v>
      </c>
      <c r="V45" s="66">
        <f t="shared" ca="1" si="20"/>
        <v>0.1</v>
      </c>
      <c r="W45" s="70">
        <f t="shared" si="21"/>
        <v>1.2631578947368429</v>
      </c>
      <c r="X45" s="70">
        <f t="shared" si="22"/>
        <v>0.42105263157894735</v>
      </c>
      <c r="Y45" s="70">
        <f t="shared" si="23"/>
        <v>0.2807017543859649</v>
      </c>
      <c r="Z45" s="70">
        <f t="shared" si="24"/>
        <v>1.4035087719298256</v>
      </c>
      <c r="AA45" s="70">
        <f t="shared" si="25"/>
        <v>0.17543859649122806</v>
      </c>
      <c r="AB45" s="70">
        <f t="shared" si="26"/>
        <v>0.24561403508771928</v>
      </c>
      <c r="AC45" s="70">
        <f t="shared" si="27"/>
        <v>0.21052631578947367</v>
      </c>
      <c r="AD45" s="71">
        <f t="shared" si="28"/>
        <v>0.84210526315789525</v>
      </c>
      <c r="AE45" s="72">
        <f t="shared" si="29"/>
        <v>0.8</v>
      </c>
      <c r="AF45" s="72">
        <f t="shared" ca="1" si="30"/>
        <v>0.9</v>
      </c>
      <c r="AG45" s="73">
        <f t="shared" ca="1" si="31"/>
        <v>0.83333333333333337</v>
      </c>
      <c r="AH45" s="456">
        <f t="shared" si="32"/>
        <v>4.8421052631578974</v>
      </c>
      <c r="AI45" s="467">
        <f t="shared" ca="1" si="33"/>
        <v>40.35087719298248</v>
      </c>
      <c r="AJ45" s="458" t="str">
        <f t="shared" ca="1" si="34"/>
        <v>Q2</v>
      </c>
      <c r="AK45" s="95" t="s">
        <v>360</v>
      </c>
      <c r="AL45" s="573"/>
      <c r="AM45" s="117"/>
      <c r="AN45" s="113"/>
      <c r="AO45" s="113"/>
      <c r="AP45" s="113">
        <v>400000</v>
      </c>
      <c r="AQ45" s="121"/>
      <c r="AR45" s="436"/>
      <c r="AS45" s="437"/>
      <c r="AT45" s="437"/>
      <c r="AU45" s="437">
        <f t="shared" si="35"/>
        <v>443487.14999999991</v>
      </c>
      <c r="AV45" s="437"/>
      <c r="AW45" s="94"/>
    </row>
    <row r="46" spans="1:49" ht="37.5" customHeight="1">
      <c r="A46" s="5"/>
      <c r="B46" s="625">
        <v>94</v>
      </c>
      <c r="C46" s="6" t="s">
        <v>12</v>
      </c>
      <c r="D46" s="371" t="s">
        <v>7</v>
      </c>
      <c r="E46" s="18" t="s">
        <v>94</v>
      </c>
      <c r="F46" s="20" t="s">
        <v>1192</v>
      </c>
      <c r="G46" s="20" t="s">
        <v>1464</v>
      </c>
      <c r="H46" s="603">
        <v>163000</v>
      </c>
      <c r="I46" s="50">
        <v>3</v>
      </c>
      <c r="J46" s="55">
        <v>0.3</v>
      </c>
      <c r="K46" s="49"/>
      <c r="L46" s="56"/>
      <c r="M46" s="61">
        <v>8.0000000000000053</v>
      </c>
      <c r="N46" s="62">
        <v>6.0000000000000036</v>
      </c>
      <c r="O46" s="62">
        <v>4.0000000000000027</v>
      </c>
      <c r="P46" s="62">
        <v>8.0000000000000053</v>
      </c>
      <c r="Q46" s="62">
        <v>4</v>
      </c>
      <c r="R46" s="62">
        <v>4.0000000000000027</v>
      </c>
      <c r="S46" s="62">
        <v>0</v>
      </c>
      <c r="T46" s="63">
        <v>9.9999999999999982</v>
      </c>
      <c r="U46" s="66" t="e">
        <f t="shared" ca="1" si="19"/>
        <v>#DIV/0!</v>
      </c>
      <c r="V46" s="66">
        <f t="shared" ca="1" si="20"/>
        <v>0.3</v>
      </c>
      <c r="W46" s="70">
        <f t="shared" si="21"/>
        <v>1.2631578947368429</v>
      </c>
      <c r="X46" s="70">
        <f t="shared" si="22"/>
        <v>0.63157894736842146</v>
      </c>
      <c r="Y46" s="70">
        <f t="shared" si="23"/>
        <v>0.56140350877193024</v>
      </c>
      <c r="Z46" s="70">
        <f t="shared" si="24"/>
        <v>1.4035087719298256</v>
      </c>
      <c r="AA46" s="70">
        <f t="shared" si="25"/>
        <v>0.35087719298245612</v>
      </c>
      <c r="AB46" s="70">
        <f t="shared" si="26"/>
        <v>0.4912280701754389</v>
      </c>
      <c r="AC46" s="70">
        <f t="shared" si="27"/>
        <v>0</v>
      </c>
      <c r="AD46" s="71">
        <f t="shared" si="28"/>
        <v>1.0526315789473681</v>
      </c>
      <c r="AE46" s="72">
        <f t="shared" si="29"/>
        <v>0.7</v>
      </c>
      <c r="AF46" s="72">
        <f t="shared" ca="1" si="30"/>
        <v>0.7</v>
      </c>
      <c r="AG46" s="73">
        <f t="shared" ca="1" si="31"/>
        <v>0.69999999999999984</v>
      </c>
      <c r="AH46" s="456">
        <f t="shared" si="32"/>
        <v>5.7543859649122835</v>
      </c>
      <c r="AI46" s="467">
        <f t="shared" ca="1" si="33"/>
        <v>40.280701754385973</v>
      </c>
      <c r="AJ46" s="458" t="str">
        <f t="shared" ca="1" si="34"/>
        <v>Q4</v>
      </c>
      <c r="AK46" s="95" t="s">
        <v>360</v>
      </c>
      <c r="AL46" s="572"/>
      <c r="AM46" s="123"/>
      <c r="AN46" s="113"/>
      <c r="AO46" s="113"/>
      <c r="AP46" s="123">
        <v>163000</v>
      </c>
      <c r="AQ46" s="121"/>
      <c r="AR46" s="436"/>
      <c r="AS46" s="437"/>
      <c r="AT46" s="437"/>
      <c r="AU46" s="437">
        <f t="shared" si="35"/>
        <v>180721.01362499996</v>
      </c>
      <c r="AV46" s="437"/>
      <c r="AW46" s="94"/>
    </row>
    <row r="47" spans="1:49" ht="37.5" customHeight="1">
      <c r="A47" s="5">
        <v>72</v>
      </c>
      <c r="B47" s="625">
        <v>97</v>
      </c>
      <c r="C47" s="6" t="s">
        <v>6</v>
      </c>
      <c r="D47" s="371" t="s">
        <v>7</v>
      </c>
      <c r="E47" s="7" t="s">
        <v>422</v>
      </c>
      <c r="F47" s="19" t="s">
        <v>1086</v>
      </c>
      <c r="G47" s="20"/>
      <c r="H47" s="603">
        <v>150000</v>
      </c>
      <c r="I47" s="50">
        <v>2</v>
      </c>
      <c r="J47" s="55">
        <v>0.2</v>
      </c>
      <c r="K47" s="49"/>
      <c r="L47" s="56"/>
      <c r="M47" s="61">
        <v>6</v>
      </c>
      <c r="N47" s="62">
        <v>8</v>
      </c>
      <c r="O47" s="62">
        <v>1</v>
      </c>
      <c r="P47" s="62">
        <v>8</v>
      </c>
      <c r="Q47" s="62">
        <v>4</v>
      </c>
      <c r="R47" s="62">
        <v>4</v>
      </c>
      <c r="S47" s="62">
        <v>0</v>
      </c>
      <c r="T47" s="63">
        <v>8</v>
      </c>
      <c r="U47" s="66" t="e">
        <f t="shared" ca="1" si="19"/>
        <v>#DIV/0!</v>
      </c>
      <c r="V47" s="66">
        <f t="shared" ca="1" si="20"/>
        <v>0.2</v>
      </c>
      <c r="W47" s="70">
        <f t="shared" si="21"/>
        <v>0.94736842105263153</v>
      </c>
      <c r="X47" s="70">
        <f t="shared" si="22"/>
        <v>0.84210526315789469</v>
      </c>
      <c r="Y47" s="70">
        <f t="shared" si="23"/>
        <v>0.14035087719298245</v>
      </c>
      <c r="Z47" s="70">
        <f t="shared" si="24"/>
        <v>1.4035087719298245</v>
      </c>
      <c r="AA47" s="70">
        <f t="shared" si="25"/>
        <v>0.35087719298245612</v>
      </c>
      <c r="AB47" s="70">
        <f t="shared" si="26"/>
        <v>0.49122807017543857</v>
      </c>
      <c r="AC47" s="70">
        <f t="shared" si="27"/>
        <v>0</v>
      </c>
      <c r="AD47" s="71">
        <f t="shared" si="28"/>
        <v>0.84210526315789469</v>
      </c>
      <c r="AE47" s="72">
        <f t="shared" si="29"/>
        <v>0.8</v>
      </c>
      <c r="AF47" s="72">
        <f t="shared" ca="1" si="30"/>
        <v>0.8</v>
      </c>
      <c r="AG47" s="73">
        <f t="shared" ca="1" si="31"/>
        <v>0.80000000000000016</v>
      </c>
      <c r="AH47" s="456">
        <f t="shared" si="32"/>
        <v>5.0175438596491224</v>
      </c>
      <c r="AI47" s="467">
        <f t="shared" ca="1" si="33"/>
        <v>40.140350877192986</v>
      </c>
      <c r="AJ47" s="458" t="str">
        <f t="shared" ca="1" si="34"/>
        <v>Q2</v>
      </c>
      <c r="AK47" s="93" t="s">
        <v>360</v>
      </c>
      <c r="AL47" s="570"/>
      <c r="AM47" s="117"/>
      <c r="AN47" s="113"/>
      <c r="AO47" s="113"/>
      <c r="AP47" s="113">
        <v>150000</v>
      </c>
      <c r="AQ47" s="121"/>
      <c r="AR47" s="436"/>
      <c r="AS47" s="437"/>
      <c r="AT47" s="437"/>
      <c r="AU47" s="437">
        <f t="shared" si="35"/>
        <v>166307.68124999997</v>
      </c>
      <c r="AV47" s="439"/>
      <c r="AW47" s="94"/>
    </row>
    <row r="48" spans="1:49" ht="36" customHeight="1">
      <c r="A48" s="5"/>
      <c r="B48" s="625">
        <v>105</v>
      </c>
      <c r="C48" s="6" t="s">
        <v>12</v>
      </c>
      <c r="D48" s="371" t="s">
        <v>7</v>
      </c>
      <c r="E48" s="18" t="s">
        <v>434</v>
      </c>
      <c r="F48" s="20" t="s">
        <v>1193</v>
      </c>
      <c r="G48" s="20"/>
      <c r="H48" s="604">
        <v>386000</v>
      </c>
      <c r="I48" s="50">
        <v>3</v>
      </c>
      <c r="J48" s="55">
        <v>0.3</v>
      </c>
      <c r="K48" s="49"/>
      <c r="L48" s="56"/>
      <c r="M48" s="61">
        <v>6</v>
      </c>
      <c r="N48" s="62">
        <v>1</v>
      </c>
      <c r="O48" s="62">
        <v>6.0000000000000036</v>
      </c>
      <c r="P48" s="62">
        <v>6.0000000000000036</v>
      </c>
      <c r="Q48" s="62">
        <v>6.0000000000000036</v>
      </c>
      <c r="R48" s="62">
        <v>6.0000000000000036</v>
      </c>
      <c r="S48" s="62">
        <v>4</v>
      </c>
      <c r="T48" s="63">
        <v>8.0000000000000053</v>
      </c>
      <c r="U48" s="66" t="e">
        <f t="shared" ca="1" si="19"/>
        <v>#DIV/0!</v>
      </c>
      <c r="V48" s="66">
        <f t="shared" ca="1" si="20"/>
        <v>0.3</v>
      </c>
      <c r="W48" s="70">
        <f t="shared" si="21"/>
        <v>0.94736842105263153</v>
      </c>
      <c r="X48" s="70">
        <f t="shared" si="22"/>
        <v>0.10526315789473684</v>
      </c>
      <c r="Y48" s="70">
        <f t="shared" si="23"/>
        <v>0.84210526315789525</v>
      </c>
      <c r="Z48" s="70">
        <f t="shared" si="24"/>
        <v>1.052631578947369</v>
      </c>
      <c r="AA48" s="70">
        <f t="shared" si="25"/>
        <v>0.52631578947368451</v>
      </c>
      <c r="AB48" s="70">
        <f t="shared" si="26"/>
        <v>0.73684210526315841</v>
      </c>
      <c r="AC48" s="70">
        <f t="shared" si="27"/>
        <v>0.42105263157894735</v>
      </c>
      <c r="AD48" s="71">
        <f t="shared" si="28"/>
        <v>0.84210526315789525</v>
      </c>
      <c r="AE48" s="72">
        <f t="shared" si="29"/>
        <v>0.7</v>
      </c>
      <c r="AF48" s="72">
        <f t="shared" ca="1" si="30"/>
        <v>0.7</v>
      </c>
      <c r="AG48" s="73">
        <f t="shared" ca="1" si="31"/>
        <v>0.69999999999999984</v>
      </c>
      <c r="AH48" s="456">
        <f t="shared" si="32"/>
        <v>5.4736842105263186</v>
      </c>
      <c r="AI48" s="467">
        <f t="shared" ca="1" si="33"/>
        <v>38.31578947368422</v>
      </c>
      <c r="AJ48" s="458" t="str">
        <f t="shared" ca="1" si="34"/>
        <v>Q4</v>
      </c>
      <c r="AK48" s="95" t="s">
        <v>360</v>
      </c>
      <c r="AL48" s="572"/>
      <c r="AM48" s="117"/>
      <c r="AN48" s="113"/>
      <c r="AO48" s="113"/>
      <c r="AP48" s="113">
        <v>386000</v>
      </c>
      <c r="AQ48" s="121"/>
      <c r="AR48" s="436"/>
      <c r="AS48" s="437"/>
      <c r="AT48" s="437"/>
      <c r="AU48" s="437">
        <f t="shared" si="35"/>
        <v>427965.09974999988</v>
      </c>
      <c r="AV48" s="437"/>
      <c r="AW48" s="94"/>
    </row>
    <row r="49" spans="1:49" ht="36" customHeight="1">
      <c r="A49" s="5">
        <v>135</v>
      </c>
      <c r="B49" s="625">
        <v>106</v>
      </c>
      <c r="C49" s="6" t="s">
        <v>12</v>
      </c>
      <c r="D49" s="371" t="s">
        <v>7</v>
      </c>
      <c r="E49" s="18" t="s">
        <v>63</v>
      </c>
      <c r="F49" s="19" t="s">
        <v>64</v>
      </c>
      <c r="G49" s="20"/>
      <c r="H49" s="603">
        <v>87000</v>
      </c>
      <c r="I49" s="50">
        <v>3</v>
      </c>
      <c r="J49" s="55">
        <v>0.3</v>
      </c>
      <c r="K49" s="49"/>
      <c r="L49" s="56"/>
      <c r="M49" s="61">
        <v>6</v>
      </c>
      <c r="N49" s="62">
        <v>1</v>
      </c>
      <c r="O49" s="62">
        <v>6.0000000000000036</v>
      </c>
      <c r="P49" s="62">
        <v>6.0000000000000036</v>
      </c>
      <c r="Q49" s="62">
        <v>6.0000000000000036</v>
      </c>
      <c r="R49" s="62">
        <v>6.0000000000000036</v>
      </c>
      <c r="S49" s="62">
        <v>4</v>
      </c>
      <c r="T49" s="63">
        <v>8.0000000000000053</v>
      </c>
      <c r="U49" s="66" t="e">
        <f t="shared" ca="1" si="19"/>
        <v>#DIV/0!</v>
      </c>
      <c r="V49" s="66">
        <f t="shared" ca="1" si="20"/>
        <v>0.3</v>
      </c>
      <c r="W49" s="70">
        <f t="shared" si="21"/>
        <v>0.94736842105263153</v>
      </c>
      <c r="X49" s="70">
        <f t="shared" si="22"/>
        <v>0.10526315789473684</v>
      </c>
      <c r="Y49" s="70">
        <f t="shared" si="23"/>
        <v>0.84210526315789525</v>
      </c>
      <c r="Z49" s="70">
        <f t="shared" si="24"/>
        <v>1.052631578947369</v>
      </c>
      <c r="AA49" s="70">
        <f t="shared" si="25"/>
        <v>0.52631578947368451</v>
      </c>
      <c r="AB49" s="70">
        <f t="shared" si="26"/>
        <v>0.73684210526315841</v>
      </c>
      <c r="AC49" s="70">
        <f t="shared" si="27"/>
        <v>0.42105263157894735</v>
      </c>
      <c r="AD49" s="71">
        <f t="shared" si="28"/>
        <v>0.84210526315789525</v>
      </c>
      <c r="AE49" s="72">
        <f t="shared" si="29"/>
        <v>0.7</v>
      </c>
      <c r="AF49" s="72">
        <f t="shared" ca="1" si="30"/>
        <v>0.7</v>
      </c>
      <c r="AG49" s="73">
        <f t="shared" ca="1" si="31"/>
        <v>0.69999999999999984</v>
      </c>
      <c r="AH49" s="456">
        <f t="shared" si="32"/>
        <v>5.4736842105263186</v>
      </c>
      <c r="AI49" s="467">
        <f t="shared" ca="1" si="33"/>
        <v>38.31578947368422</v>
      </c>
      <c r="AJ49" s="458" t="str">
        <f t="shared" ca="1" si="34"/>
        <v>Q4</v>
      </c>
      <c r="AK49" s="95" t="s">
        <v>360</v>
      </c>
      <c r="AL49" s="572"/>
      <c r="AM49" s="117"/>
      <c r="AN49" s="113"/>
      <c r="AO49" s="113"/>
      <c r="AP49" s="113">
        <v>87000</v>
      </c>
      <c r="AQ49" s="121"/>
      <c r="AR49" s="438"/>
      <c r="AS49" s="437"/>
      <c r="AT49" s="437"/>
      <c r="AU49" s="437">
        <f t="shared" si="35"/>
        <v>96458.455124999979</v>
      </c>
      <c r="AV49" s="437"/>
      <c r="AW49" s="94"/>
    </row>
    <row r="50" spans="1:49" ht="36" customHeight="1">
      <c r="A50" s="5">
        <v>43</v>
      </c>
      <c r="B50" s="625">
        <v>110</v>
      </c>
      <c r="C50" s="6" t="s">
        <v>20</v>
      </c>
      <c r="D50" s="371" t="s">
        <v>418</v>
      </c>
      <c r="E50" s="21" t="s">
        <v>1148</v>
      </c>
      <c r="F50" s="13" t="s">
        <v>1419</v>
      </c>
      <c r="G50" s="128" t="s">
        <v>41</v>
      </c>
      <c r="H50" s="603">
        <v>300000</v>
      </c>
      <c r="I50" s="50">
        <v>3</v>
      </c>
      <c r="J50" s="55">
        <v>0.3</v>
      </c>
      <c r="K50" s="49"/>
      <c r="L50" s="56"/>
      <c r="M50" s="61">
        <v>8.0000000000000053</v>
      </c>
      <c r="N50" s="62">
        <v>8.0000000000000053</v>
      </c>
      <c r="O50" s="62">
        <v>4</v>
      </c>
      <c r="P50" s="62">
        <v>4</v>
      </c>
      <c r="Q50" s="62">
        <v>4</v>
      </c>
      <c r="R50" s="62">
        <v>6</v>
      </c>
      <c r="S50" s="62">
        <v>1</v>
      </c>
      <c r="T50" s="63">
        <v>8</v>
      </c>
      <c r="U50" s="66" t="e">
        <f t="shared" ca="1" si="19"/>
        <v>#DIV/0!</v>
      </c>
      <c r="V50" s="66">
        <f t="shared" ca="1" si="20"/>
        <v>0.3</v>
      </c>
      <c r="W50" s="70">
        <f t="shared" si="21"/>
        <v>1.2631578947368429</v>
      </c>
      <c r="X50" s="70">
        <f t="shared" si="22"/>
        <v>0.84210526315789525</v>
      </c>
      <c r="Y50" s="70">
        <f t="shared" si="23"/>
        <v>0.56140350877192979</v>
      </c>
      <c r="Z50" s="70">
        <f t="shared" si="24"/>
        <v>0.70175438596491224</v>
      </c>
      <c r="AA50" s="70">
        <f t="shared" si="25"/>
        <v>0.35087719298245612</v>
      </c>
      <c r="AB50" s="70">
        <f t="shared" si="26"/>
        <v>0.73684210526315785</v>
      </c>
      <c r="AC50" s="70">
        <f t="shared" si="27"/>
        <v>0.10526315789473684</v>
      </c>
      <c r="AD50" s="71">
        <f t="shared" si="28"/>
        <v>0.84210526315789469</v>
      </c>
      <c r="AE50" s="72">
        <f t="shared" si="29"/>
        <v>0.7</v>
      </c>
      <c r="AF50" s="72">
        <f t="shared" ca="1" si="30"/>
        <v>0.7</v>
      </c>
      <c r="AG50" s="73">
        <f t="shared" ca="1" si="31"/>
        <v>0.69999999999999984</v>
      </c>
      <c r="AH50" s="456">
        <f t="shared" si="32"/>
        <v>5.4035087719298254</v>
      </c>
      <c r="AI50" s="467">
        <f t="shared" ca="1" si="33"/>
        <v>37.824561403508767</v>
      </c>
      <c r="AJ50" s="458" t="str">
        <f t="shared" ca="1" si="34"/>
        <v>Q4</v>
      </c>
      <c r="AK50" s="95" t="s">
        <v>360</v>
      </c>
      <c r="AL50" s="111"/>
      <c r="AM50" s="118"/>
      <c r="AN50" s="113"/>
      <c r="AO50" s="113"/>
      <c r="AP50" s="113">
        <v>300000</v>
      </c>
      <c r="AQ50" s="121"/>
      <c r="AR50" s="436"/>
      <c r="AS50" s="437"/>
      <c r="AT50" s="437"/>
      <c r="AU50" s="437">
        <f t="shared" si="35"/>
        <v>332615.36249999993</v>
      </c>
      <c r="AV50" s="437"/>
      <c r="AW50" s="94"/>
    </row>
    <row r="51" spans="1:49" ht="36" customHeight="1">
      <c r="A51" s="5">
        <v>154</v>
      </c>
      <c r="B51" s="625">
        <v>115</v>
      </c>
      <c r="C51" s="6" t="s">
        <v>6</v>
      </c>
      <c r="D51" s="371" t="s">
        <v>7</v>
      </c>
      <c r="E51" s="7" t="s">
        <v>163</v>
      </c>
      <c r="F51" s="9" t="s">
        <v>1143</v>
      </c>
      <c r="G51" s="8"/>
      <c r="H51" s="600">
        <v>1000000</v>
      </c>
      <c r="I51" s="49">
        <v>3</v>
      </c>
      <c r="J51" s="55">
        <v>0.2</v>
      </c>
      <c r="K51" s="49"/>
      <c r="L51" s="56"/>
      <c r="M51" s="61">
        <v>6.0000000000000036</v>
      </c>
      <c r="N51" s="62">
        <v>8.0000000000000053</v>
      </c>
      <c r="O51" s="62">
        <v>5</v>
      </c>
      <c r="P51" s="62">
        <v>3</v>
      </c>
      <c r="Q51" s="62">
        <v>0</v>
      </c>
      <c r="R51" s="62">
        <v>6</v>
      </c>
      <c r="S51" s="62">
        <v>5</v>
      </c>
      <c r="T51" s="63">
        <v>8.0000000000000053</v>
      </c>
      <c r="U51" s="66" t="e">
        <f t="shared" ca="1" si="19"/>
        <v>#DIV/0!</v>
      </c>
      <c r="V51" s="66">
        <f t="shared" ca="1" si="20"/>
        <v>0.2</v>
      </c>
      <c r="W51" s="70">
        <f t="shared" si="21"/>
        <v>0.94736842105263208</v>
      </c>
      <c r="X51" s="70">
        <f t="shared" si="22"/>
        <v>0.84210526315789525</v>
      </c>
      <c r="Y51" s="70">
        <f t="shared" si="23"/>
        <v>0.70175438596491224</v>
      </c>
      <c r="Z51" s="70">
        <f t="shared" si="24"/>
        <v>0.52631578947368418</v>
      </c>
      <c r="AA51" s="70">
        <f t="shared" si="25"/>
        <v>0</v>
      </c>
      <c r="AB51" s="70">
        <f t="shared" si="26"/>
        <v>0.73684210526315785</v>
      </c>
      <c r="AC51" s="70">
        <f t="shared" si="27"/>
        <v>0.52631578947368418</v>
      </c>
      <c r="AD51" s="71">
        <f t="shared" si="28"/>
        <v>0.84210526315789525</v>
      </c>
      <c r="AE51" s="72">
        <f t="shared" si="29"/>
        <v>0.7</v>
      </c>
      <c r="AF51" s="72">
        <f t="shared" ca="1" si="30"/>
        <v>0.8</v>
      </c>
      <c r="AG51" s="73">
        <f t="shared" ca="1" si="31"/>
        <v>0.73333333333333339</v>
      </c>
      <c r="AH51" s="456">
        <f t="shared" si="32"/>
        <v>5.1228070175438614</v>
      </c>
      <c r="AI51" s="467">
        <f t="shared" ca="1" si="33"/>
        <v>37.56725146198832</v>
      </c>
      <c r="AJ51" s="458" t="str">
        <f t="shared" ca="1" si="34"/>
        <v>Q4</v>
      </c>
      <c r="AK51" s="93" t="s">
        <v>360</v>
      </c>
      <c r="AL51" s="110"/>
      <c r="AM51" s="117"/>
      <c r="AN51" s="113"/>
      <c r="AO51" s="113"/>
      <c r="AP51" s="113"/>
      <c r="AQ51" s="587">
        <v>250000</v>
      </c>
      <c r="AR51" s="436"/>
      <c r="AS51" s="437"/>
      <c r="AT51" s="437"/>
      <c r="AU51" s="437"/>
      <c r="AV51" s="637">
        <f t="shared" ref="AV51:AV60" si="36">AQ51*(1+Efactor)^4</f>
        <v>286880.75015624991</v>
      </c>
      <c r="AW51" s="94"/>
    </row>
    <row r="52" spans="1:49" ht="36" customHeight="1">
      <c r="A52" s="5">
        <v>64</v>
      </c>
      <c r="B52" s="625">
        <v>117</v>
      </c>
      <c r="C52" s="6" t="s">
        <v>20</v>
      </c>
      <c r="D52" s="371" t="s">
        <v>418</v>
      </c>
      <c r="E52" s="21" t="s">
        <v>1257</v>
      </c>
      <c r="F52" s="11" t="s">
        <v>1420</v>
      </c>
      <c r="G52" s="20"/>
      <c r="H52" s="603">
        <v>110000</v>
      </c>
      <c r="I52" s="50">
        <v>3</v>
      </c>
      <c r="J52" s="55">
        <v>0.3</v>
      </c>
      <c r="K52" s="49"/>
      <c r="L52" s="56"/>
      <c r="M52" s="61">
        <v>7</v>
      </c>
      <c r="N52" s="62">
        <v>7</v>
      </c>
      <c r="O52" s="62">
        <v>4</v>
      </c>
      <c r="P52" s="62">
        <v>6</v>
      </c>
      <c r="Q52" s="62">
        <v>4</v>
      </c>
      <c r="R52" s="62">
        <v>4</v>
      </c>
      <c r="S52" s="62">
        <v>0</v>
      </c>
      <c r="T52" s="63">
        <v>10</v>
      </c>
      <c r="U52" s="66" t="e">
        <f t="shared" ca="1" si="19"/>
        <v>#DIV/0!</v>
      </c>
      <c r="V52" s="66">
        <f t="shared" ca="1" si="20"/>
        <v>0.3</v>
      </c>
      <c r="W52" s="70">
        <f t="shared" si="21"/>
        <v>1.1052631578947369</v>
      </c>
      <c r="X52" s="70">
        <f t="shared" si="22"/>
        <v>0.73684210526315785</v>
      </c>
      <c r="Y52" s="70">
        <f t="shared" si="23"/>
        <v>0.56140350877192979</v>
      </c>
      <c r="Z52" s="70">
        <f t="shared" si="24"/>
        <v>1.0526315789473684</v>
      </c>
      <c r="AA52" s="70">
        <f t="shared" si="25"/>
        <v>0.35087719298245612</v>
      </c>
      <c r="AB52" s="70">
        <f t="shared" si="26"/>
        <v>0.49122807017543857</v>
      </c>
      <c r="AC52" s="70">
        <f t="shared" si="27"/>
        <v>0</v>
      </c>
      <c r="AD52" s="71">
        <f t="shared" si="28"/>
        <v>1.0526315789473684</v>
      </c>
      <c r="AE52" s="72">
        <f t="shared" si="29"/>
        <v>0.7</v>
      </c>
      <c r="AF52" s="72">
        <f t="shared" ca="1" si="30"/>
        <v>0.7</v>
      </c>
      <c r="AG52" s="73">
        <f t="shared" ca="1" si="31"/>
        <v>0.69999999999999984</v>
      </c>
      <c r="AH52" s="456">
        <f t="shared" si="32"/>
        <v>5.3508771929824555</v>
      </c>
      <c r="AI52" s="467">
        <f t="shared" ca="1" si="33"/>
        <v>37.456140350877178</v>
      </c>
      <c r="AJ52" s="458" t="str">
        <f t="shared" ca="1" si="34"/>
        <v>Q4</v>
      </c>
      <c r="AK52" s="95" t="s">
        <v>360</v>
      </c>
      <c r="AL52" s="572"/>
      <c r="AM52" s="117"/>
      <c r="AN52" s="113"/>
      <c r="AO52" s="113"/>
      <c r="AP52" s="113"/>
      <c r="AQ52" s="121">
        <v>110000</v>
      </c>
      <c r="AR52" s="436"/>
      <c r="AS52" s="437"/>
      <c r="AT52" s="437"/>
      <c r="AU52" s="437"/>
      <c r="AV52" s="437">
        <f t="shared" si="36"/>
        <v>126227.53006874997</v>
      </c>
      <c r="AW52" s="94"/>
    </row>
    <row r="53" spans="1:49" ht="36" customHeight="1">
      <c r="A53" s="5"/>
      <c r="B53" s="625">
        <v>119</v>
      </c>
      <c r="C53" s="6" t="s">
        <v>12</v>
      </c>
      <c r="D53" s="371" t="s">
        <v>418</v>
      </c>
      <c r="E53" s="12" t="s">
        <v>1489</v>
      </c>
      <c r="F53" s="13" t="s">
        <v>1236</v>
      </c>
      <c r="G53" s="127" t="s">
        <v>224</v>
      </c>
      <c r="H53" s="603">
        <v>600000</v>
      </c>
      <c r="I53" s="50">
        <v>4</v>
      </c>
      <c r="J53" s="55">
        <v>0.4</v>
      </c>
      <c r="K53" s="49"/>
      <c r="L53" s="56"/>
      <c r="M53" s="61">
        <v>7</v>
      </c>
      <c r="N53" s="62">
        <v>7</v>
      </c>
      <c r="O53" s="62">
        <v>3</v>
      </c>
      <c r="P53" s="62">
        <v>8</v>
      </c>
      <c r="Q53" s="62">
        <v>6</v>
      </c>
      <c r="R53" s="62">
        <v>8</v>
      </c>
      <c r="S53" s="62">
        <v>0</v>
      </c>
      <c r="T53" s="63">
        <v>10</v>
      </c>
      <c r="U53" s="66" t="e">
        <f t="shared" ca="1" si="19"/>
        <v>#DIV/0!</v>
      </c>
      <c r="V53" s="66">
        <f t="shared" ca="1" si="20"/>
        <v>0.4</v>
      </c>
      <c r="W53" s="70">
        <f t="shared" si="21"/>
        <v>1.1052631578947369</v>
      </c>
      <c r="X53" s="70">
        <f t="shared" si="22"/>
        <v>0.73684210526315785</v>
      </c>
      <c r="Y53" s="70">
        <f t="shared" si="23"/>
        <v>0.42105263157894735</v>
      </c>
      <c r="Z53" s="70">
        <f t="shared" si="24"/>
        <v>1.4035087719298245</v>
      </c>
      <c r="AA53" s="70">
        <f t="shared" si="25"/>
        <v>0.52631578947368418</v>
      </c>
      <c r="AB53" s="70">
        <f t="shared" si="26"/>
        <v>0.98245614035087714</v>
      </c>
      <c r="AC53" s="70">
        <f t="shared" si="27"/>
        <v>0</v>
      </c>
      <c r="AD53" s="71">
        <f t="shared" si="28"/>
        <v>1.0526315789473684</v>
      </c>
      <c r="AE53" s="72">
        <f t="shared" si="29"/>
        <v>0.6</v>
      </c>
      <c r="AF53" s="72">
        <f t="shared" ca="1" si="30"/>
        <v>0.6</v>
      </c>
      <c r="AG53" s="73">
        <f t="shared" ca="1" si="31"/>
        <v>0.6</v>
      </c>
      <c r="AH53" s="456">
        <f t="shared" si="32"/>
        <v>6.2280701754385959</v>
      </c>
      <c r="AI53" s="467">
        <f t="shared" ca="1" si="33"/>
        <v>37.368421052631575</v>
      </c>
      <c r="AJ53" s="458" t="str">
        <f t="shared" ca="1" si="34"/>
        <v>Q3</v>
      </c>
      <c r="AK53" s="95" t="s">
        <v>360</v>
      </c>
      <c r="AL53" s="572"/>
      <c r="AM53" s="117"/>
      <c r="AN53" s="113"/>
      <c r="AO53" s="113"/>
      <c r="AP53" s="113"/>
      <c r="AQ53" s="121">
        <v>600000</v>
      </c>
      <c r="AR53" s="436"/>
      <c r="AS53" s="437"/>
      <c r="AT53" s="437"/>
      <c r="AU53" s="437"/>
      <c r="AV53" s="437">
        <f t="shared" si="36"/>
        <v>688513.80037499976</v>
      </c>
      <c r="AW53" s="94"/>
    </row>
    <row r="54" spans="1:49" ht="36" customHeight="1">
      <c r="A54" s="5">
        <v>76</v>
      </c>
      <c r="B54" s="625">
        <v>121</v>
      </c>
      <c r="C54" s="6" t="s">
        <v>6</v>
      </c>
      <c r="D54" s="371" t="s">
        <v>7</v>
      </c>
      <c r="E54" s="18" t="s">
        <v>427</v>
      </c>
      <c r="F54" s="19" t="s">
        <v>1087</v>
      </c>
      <c r="G54" s="20"/>
      <c r="H54" s="603">
        <v>150000</v>
      </c>
      <c r="I54" s="50">
        <v>3</v>
      </c>
      <c r="J54" s="55">
        <v>0.3</v>
      </c>
      <c r="K54" s="49"/>
      <c r="L54" s="56"/>
      <c r="M54" s="61">
        <v>6</v>
      </c>
      <c r="N54" s="62">
        <v>6.0000000000000036</v>
      </c>
      <c r="O54" s="62">
        <v>3</v>
      </c>
      <c r="P54" s="62">
        <v>8</v>
      </c>
      <c r="Q54" s="62">
        <v>4</v>
      </c>
      <c r="R54" s="62">
        <v>6</v>
      </c>
      <c r="S54" s="62">
        <v>0</v>
      </c>
      <c r="T54" s="63">
        <v>8</v>
      </c>
      <c r="U54" s="66" t="e">
        <f t="shared" ca="1" si="19"/>
        <v>#DIV/0!</v>
      </c>
      <c r="V54" s="66">
        <f t="shared" ca="1" si="20"/>
        <v>0.3</v>
      </c>
      <c r="W54" s="70">
        <f t="shared" si="21"/>
        <v>0.94736842105263153</v>
      </c>
      <c r="X54" s="70">
        <f t="shared" si="22"/>
        <v>0.63157894736842146</v>
      </c>
      <c r="Y54" s="70">
        <f t="shared" si="23"/>
        <v>0.42105263157894735</v>
      </c>
      <c r="Z54" s="70">
        <f t="shared" si="24"/>
        <v>1.4035087719298245</v>
      </c>
      <c r="AA54" s="70">
        <f t="shared" si="25"/>
        <v>0.35087719298245612</v>
      </c>
      <c r="AB54" s="70">
        <f t="shared" si="26"/>
        <v>0.73684210526315785</v>
      </c>
      <c r="AC54" s="70">
        <f t="shared" si="27"/>
        <v>0</v>
      </c>
      <c r="AD54" s="71">
        <f t="shared" si="28"/>
        <v>0.84210526315789469</v>
      </c>
      <c r="AE54" s="72">
        <f t="shared" si="29"/>
        <v>0.7</v>
      </c>
      <c r="AF54" s="72">
        <f t="shared" ca="1" si="30"/>
        <v>0.7</v>
      </c>
      <c r="AG54" s="73">
        <f t="shared" ca="1" si="31"/>
        <v>0.69999999999999984</v>
      </c>
      <c r="AH54" s="456">
        <f t="shared" si="32"/>
        <v>5.333333333333333</v>
      </c>
      <c r="AI54" s="467">
        <f t="shared" ca="1" si="33"/>
        <v>37.333333333333329</v>
      </c>
      <c r="AJ54" s="458" t="str">
        <f t="shared" ca="1" si="34"/>
        <v>Q4</v>
      </c>
      <c r="AK54" s="93" t="s">
        <v>360</v>
      </c>
      <c r="AL54" s="571"/>
      <c r="AM54" s="117"/>
      <c r="AN54" s="113"/>
      <c r="AO54" s="113"/>
      <c r="AP54" s="113"/>
      <c r="AQ54" s="121">
        <v>150000</v>
      </c>
      <c r="AR54" s="436"/>
      <c r="AS54" s="437"/>
      <c r="AT54" s="437"/>
      <c r="AU54" s="437"/>
      <c r="AV54" s="437">
        <f t="shared" si="36"/>
        <v>172128.45009374994</v>
      </c>
      <c r="AW54" s="94"/>
    </row>
    <row r="55" spans="1:49" ht="36" customHeight="1">
      <c r="A55" s="5">
        <v>340</v>
      </c>
      <c r="B55" s="625">
        <v>123</v>
      </c>
      <c r="C55" s="6" t="s">
        <v>53</v>
      </c>
      <c r="D55" s="371" t="s">
        <v>7</v>
      </c>
      <c r="E55" s="18" t="s">
        <v>1125</v>
      </c>
      <c r="F55" s="20" t="s">
        <v>1210</v>
      </c>
      <c r="G55" s="20" t="s">
        <v>170</v>
      </c>
      <c r="H55" s="604">
        <v>140000</v>
      </c>
      <c r="I55" s="50">
        <v>3</v>
      </c>
      <c r="J55" s="55">
        <v>0.1</v>
      </c>
      <c r="K55" s="49"/>
      <c r="L55" s="56"/>
      <c r="M55" s="61">
        <v>6</v>
      </c>
      <c r="N55" s="62">
        <v>6</v>
      </c>
      <c r="O55" s="62">
        <v>2</v>
      </c>
      <c r="P55" s="62">
        <v>8</v>
      </c>
      <c r="Q55" s="62">
        <v>4.0000000000000027</v>
      </c>
      <c r="R55" s="62">
        <v>4.0000000000000027</v>
      </c>
      <c r="S55" s="62">
        <v>0</v>
      </c>
      <c r="T55" s="63">
        <v>7</v>
      </c>
      <c r="U55" s="66" t="e">
        <f t="shared" ca="1" si="19"/>
        <v>#DIV/0!</v>
      </c>
      <c r="V55" s="66">
        <f t="shared" ca="1" si="20"/>
        <v>0.1</v>
      </c>
      <c r="W55" s="70">
        <f t="shared" si="21"/>
        <v>0.94736842105263153</v>
      </c>
      <c r="X55" s="70">
        <f t="shared" si="22"/>
        <v>0.63157894736842102</v>
      </c>
      <c r="Y55" s="70">
        <f t="shared" si="23"/>
        <v>0.2807017543859649</v>
      </c>
      <c r="Z55" s="70">
        <f t="shared" si="24"/>
        <v>1.4035087719298245</v>
      </c>
      <c r="AA55" s="70">
        <f t="shared" si="25"/>
        <v>0.3508771929824564</v>
      </c>
      <c r="AB55" s="70">
        <f t="shared" si="26"/>
        <v>0.4912280701754389</v>
      </c>
      <c r="AC55" s="70">
        <f t="shared" si="27"/>
        <v>0</v>
      </c>
      <c r="AD55" s="71">
        <f t="shared" si="28"/>
        <v>0.73684210526315785</v>
      </c>
      <c r="AE55" s="72">
        <f t="shared" si="29"/>
        <v>0.7</v>
      </c>
      <c r="AF55" s="72">
        <f t="shared" ca="1" si="30"/>
        <v>0.9</v>
      </c>
      <c r="AG55" s="73">
        <f t="shared" ca="1" si="31"/>
        <v>0.76666666666666661</v>
      </c>
      <c r="AH55" s="456">
        <f t="shared" si="32"/>
        <v>4.8421052631578947</v>
      </c>
      <c r="AI55" s="467">
        <f t="shared" ca="1" si="33"/>
        <v>37.122807017543856</v>
      </c>
      <c r="AJ55" s="458" t="str">
        <f t="shared" ca="1" si="34"/>
        <v>Q2</v>
      </c>
      <c r="AK55" s="95" t="s">
        <v>360</v>
      </c>
      <c r="AL55" s="572"/>
      <c r="AM55" s="117"/>
      <c r="AN55" s="113"/>
      <c r="AO55" s="113"/>
      <c r="AP55" s="113"/>
      <c r="AQ55" s="121">
        <v>140000</v>
      </c>
      <c r="AR55" s="436"/>
      <c r="AS55" s="437"/>
      <c r="AT55" s="437"/>
      <c r="AU55" s="437"/>
      <c r="AV55" s="437">
        <f t="shared" si="36"/>
        <v>160653.22008749997</v>
      </c>
      <c r="AW55" s="94"/>
    </row>
    <row r="56" spans="1:49" ht="36" customHeight="1">
      <c r="A56" s="5">
        <v>49</v>
      </c>
      <c r="B56" s="625">
        <v>127</v>
      </c>
      <c r="C56" s="6" t="s">
        <v>6</v>
      </c>
      <c r="D56" s="371" t="s">
        <v>7</v>
      </c>
      <c r="E56" s="7" t="s">
        <v>242</v>
      </c>
      <c r="F56" s="9" t="s">
        <v>243</v>
      </c>
      <c r="G56" s="8"/>
      <c r="H56" s="600">
        <v>400000</v>
      </c>
      <c r="I56" s="49">
        <v>3</v>
      </c>
      <c r="J56" s="55">
        <v>0.3</v>
      </c>
      <c r="K56" s="49"/>
      <c r="L56" s="56"/>
      <c r="M56" s="61">
        <v>6.0000000000000036</v>
      </c>
      <c r="N56" s="62">
        <v>8.0000000000000053</v>
      </c>
      <c r="O56" s="62">
        <v>2</v>
      </c>
      <c r="P56" s="62">
        <v>8</v>
      </c>
      <c r="Q56" s="62">
        <v>0</v>
      </c>
      <c r="R56" s="62">
        <v>8</v>
      </c>
      <c r="S56" s="62">
        <v>0</v>
      </c>
      <c r="T56" s="63">
        <v>8</v>
      </c>
      <c r="U56" s="66" t="e">
        <f t="shared" ca="1" si="19"/>
        <v>#DIV/0!</v>
      </c>
      <c r="V56" s="66">
        <f t="shared" ca="1" si="20"/>
        <v>0.3</v>
      </c>
      <c r="W56" s="70">
        <f t="shared" si="21"/>
        <v>0.94736842105263208</v>
      </c>
      <c r="X56" s="70">
        <f t="shared" si="22"/>
        <v>0.84210526315789525</v>
      </c>
      <c r="Y56" s="70">
        <f t="shared" si="23"/>
        <v>0.2807017543859649</v>
      </c>
      <c r="Z56" s="70">
        <f t="shared" si="24"/>
        <v>1.4035087719298245</v>
      </c>
      <c r="AA56" s="70">
        <f t="shared" si="25"/>
        <v>0</v>
      </c>
      <c r="AB56" s="70">
        <f t="shared" si="26"/>
        <v>0.98245614035087714</v>
      </c>
      <c r="AC56" s="70">
        <f t="shared" si="27"/>
        <v>0</v>
      </c>
      <c r="AD56" s="71">
        <f t="shared" si="28"/>
        <v>0.84210526315789469</v>
      </c>
      <c r="AE56" s="72">
        <f t="shared" si="29"/>
        <v>0.7</v>
      </c>
      <c r="AF56" s="72">
        <f t="shared" ca="1" si="30"/>
        <v>0.7</v>
      </c>
      <c r="AG56" s="73">
        <f t="shared" ca="1" si="31"/>
        <v>0.69999999999999984</v>
      </c>
      <c r="AH56" s="456">
        <f t="shared" si="32"/>
        <v>5.2982456140350882</v>
      </c>
      <c r="AI56" s="467">
        <f t="shared" ca="1" si="33"/>
        <v>37.087719298245609</v>
      </c>
      <c r="AJ56" s="458" t="str">
        <f t="shared" ca="1" si="34"/>
        <v>Q4</v>
      </c>
      <c r="AK56" s="93" t="s">
        <v>360</v>
      </c>
      <c r="AL56" s="571"/>
      <c r="AM56" s="117"/>
      <c r="AN56" s="113"/>
      <c r="AO56" s="113"/>
      <c r="AP56" s="113"/>
      <c r="AQ56" s="121">
        <v>100000</v>
      </c>
      <c r="AR56" s="436"/>
      <c r="AS56" s="437"/>
      <c r="AT56" s="437"/>
      <c r="AU56" s="437"/>
      <c r="AV56" s="437">
        <f t="shared" si="36"/>
        <v>114752.30006249997</v>
      </c>
      <c r="AW56" s="94"/>
    </row>
    <row r="57" spans="1:49" ht="36" customHeight="1">
      <c r="A57" s="1">
        <v>79</v>
      </c>
      <c r="B57" s="625">
        <v>128</v>
      </c>
      <c r="C57" s="2" t="s">
        <v>6</v>
      </c>
      <c r="D57" s="370" t="s">
        <v>7</v>
      </c>
      <c r="E57" s="7" t="s">
        <v>274</v>
      </c>
      <c r="F57" s="592" t="s">
        <v>1212</v>
      </c>
      <c r="G57" s="4"/>
      <c r="H57" s="599">
        <v>300000</v>
      </c>
      <c r="I57" s="376">
        <v>3</v>
      </c>
      <c r="J57" s="377">
        <v>0.2</v>
      </c>
      <c r="K57" s="376"/>
      <c r="L57" s="378"/>
      <c r="M57" s="61">
        <v>6.0000000000000036</v>
      </c>
      <c r="N57" s="62">
        <v>8.0000000000000053</v>
      </c>
      <c r="O57" s="62">
        <v>2</v>
      </c>
      <c r="P57" s="62">
        <v>6</v>
      </c>
      <c r="Q57" s="62">
        <v>0</v>
      </c>
      <c r="R57" s="62">
        <v>8</v>
      </c>
      <c r="S57" s="62">
        <v>0</v>
      </c>
      <c r="T57" s="63">
        <v>9</v>
      </c>
      <c r="U57" s="379" t="e">
        <f t="shared" ca="1" si="19"/>
        <v>#DIV/0!</v>
      </c>
      <c r="V57" s="379">
        <f t="shared" ca="1" si="20"/>
        <v>0.2</v>
      </c>
      <c r="W57" s="70">
        <f t="shared" si="21"/>
        <v>0.94736842105263208</v>
      </c>
      <c r="X57" s="70">
        <f t="shared" si="22"/>
        <v>0.84210526315789525</v>
      </c>
      <c r="Y57" s="70">
        <f t="shared" si="23"/>
        <v>0.2807017543859649</v>
      </c>
      <c r="Z57" s="70">
        <f t="shared" si="24"/>
        <v>1.0526315789473684</v>
      </c>
      <c r="AA57" s="70">
        <f t="shared" si="25"/>
        <v>0</v>
      </c>
      <c r="AB57" s="70">
        <f t="shared" si="26"/>
        <v>0.98245614035087714</v>
      </c>
      <c r="AC57" s="70">
        <f t="shared" si="27"/>
        <v>0</v>
      </c>
      <c r="AD57" s="71">
        <f t="shared" si="28"/>
        <v>0.94736842105263153</v>
      </c>
      <c r="AE57" s="72">
        <f t="shared" si="29"/>
        <v>0.7</v>
      </c>
      <c r="AF57" s="72">
        <f t="shared" ca="1" si="30"/>
        <v>0.8</v>
      </c>
      <c r="AG57" s="73">
        <f t="shared" ca="1" si="31"/>
        <v>0.73333333333333339</v>
      </c>
      <c r="AH57" s="455">
        <f t="shared" si="32"/>
        <v>5.0526315789473699</v>
      </c>
      <c r="AI57" s="466">
        <f t="shared" ca="1" si="33"/>
        <v>37.052631578947384</v>
      </c>
      <c r="AJ57" s="458" t="str">
        <f t="shared" ca="1" si="34"/>
        <v>Q4</v>
      </c>
      <c r="AK57" s="91" t="s">
        <v>360</v>
      </c>
      <c r="AL57" s="110"/>
      <c r="AM57" s="117"/>
      <c r="AN57" s="113"/>
      <c r="AO57" s="113"/>
      <c r="AP57" s="113"/>
      <c r="AQ57" s="121">
        <v>100000</v>
      </c>
      <c r="AR57" s="436"/>
      <c r="AS57" s="437"/>
      <c r="AT57" s="437"/>
      <c r="AU57" s="437"/>
      <c r="AV57" s="437">
        <f t="shared" si="36"/>
        <v>114752.30006249997</v>
      </c>
      <c r="AW57" s="92"/>
    </row>
    <row r="58" spans="1:49" ht="36" customHeight="1">
      <c r="A58" s="5">
        <v>67</v>
      </c>
      <c r="B58" s="625">
        <v>129</v>
      </c>
      <c r="C58" s="6" t="s">
        <v>6</v>
      </c>
      <c r="D58" s="371" t="s">
        <v>7</v>
      </c>
      <c r="E58" s="18" t="s">
        <v>426</v>
      </c>
      <c r="F58" s="19" t="s">
        <v>1108</v>
      </c>
      <c r="G58" s="20"/>
      <c r="H58" s="603">
        <v>375000</v>
      </c>
      <c r="I58" s="50">
        <v>3</v>
      </c>
      <c r="J58" s="55">
        <v>0.2</v>
      </c>
      <c r="K58" s="49"/>
      <c r="L58" s="56"/>
      <c r="M58" s="61">
        <v>6</v>
      </c>
      <c r="N58" s="62">
        <v>8</v>
      </c>
      <c r="O58" s="62">
        <v>2</v>
      </c>
      <c r="P58" s="62">
        <v>6</v>
      </c>
      <c r="Q58" s="62">
        <v>2</v>
      </c>
      <c r="R58" s="62">
        <v>4</v>
      </c>
      <c r="S58" s="62">
        <v>4</v>
      </c>
      <c r="T58" s="63">
        <v>8</v>
      </c>
      <c r="U58" s="66" t="e">
        <f t="shared" ca="1" si="19"/>
        <v>#DIV/0!</v>
      </c>
      <c r="V58" s="66">
        <f t="shared" ca="1" si="20"/>
        <v>0.2</v>
      </c>
      <c r="W58" s="70">
        <f t="shared" si="21"/>
        <v>0.94736842105263153</v>
      </c>
      <c r="X58" s="70">
        <f t="shared" si="22"/>
        <v>0.84210526315789469</v>
      </c>
      <c r="Y58" s="70">
        <f t="shared" si="23"/>
        <v>0.2807017543859649</v>
      </c>
      <c r="Z58" s="70">
        <f t="shared" si="24"/>
        <v>1.0526315789473684</v>
      </c>
      <c r="AA58" s="70">
        <f t="shared" si="25"/>
        <v>0.17543859649122806</v>
      </c>
      <c r="AB58" s="70">
        <f t="shared" si="26"/>
        <v>0.49122807017543857</v>
      </c>
      <c r="AC58" s="70">
        <f t="shared" si="27"/>
        <v>0.42105263157894735</v>
      </c>
      <c r="AD58" s="71">
        <f t="shared" si="28"/>
        <v>0.84210526315789469</v>
      </c>
      <c r="AE58" s="72">
        <f t="shared" si="29"/>
        <v>0.7</v>
      </c>
      <c r="AF58" s="72">
        <f t="shared" ca="1" si="30"/>
        <v>0.8</v>
      </c>
      <c r="AG58" s="73">
        <f t="shared" ca="1" si="31"/>
        <v>0.73333333333333339</v>
      </c>
      <c r="AH58" s="456">
        <f t="shared" si="32"/>
        <v>5.052631578947369</v>
      </c>
      <c r="AI58" s="467">
        <f t="shared" ca="1" si="33"/>
        <v>37.052631578947377</v>
      </c>
      <c r="AJ58" s="458" t="str">
        <f t="shared" ca="1" si="34"/>
        <v>Q4</v>
      </c>
      <c r="AK58" s="93" t="s">
        <v>360</v>
      </c>
      <c r="AL58" s="110"/>
      <c r="AM58" s="117"/>
      <c r="AN58" s="113"/>
      <c r="AO58" s="113"/>
      <c r="AP58" s="113"/>
      <c r="AQ58" s="121">
        <v>375000</v>
      </c>
      <c r="AR58" s="436"/>
      <c r="AS58" s="437"/>
      <c r="AT58" s="437"/>
      <c r="AU58" s="437"/>
      <c r="AV58" s="437">
        <f t="shared" si="36"/>
        <v>430321.12523437489</v>
      </c>
      <c r="AW58" s="94"/>
    </row>
    <row r="59" spans="1:49" s="228" customFormat="1" ht="36" customHeight="1">
      <c r="A59" s="5"/>
      <c r="B59" s="625">
        <v>131</v>
      </c>
      <c r="C59" s="6" t="s">
        <v>20</v>
      </c>
      <c r="D59" s="371" t="s">
        <v>418</v>
      </c>
      <c r="E59" s="21" t="s">
        <v>1421</v>
      </c>
      <c r="F59" s="11" t="s">
        <v>1258</v>
      </c>
      <c r="G59" s="20"/>
      <c r="H59" s="603">
        <v>150000</v>
      </c>
      <c r="I59" s="50">
        <v>3</v>
      </c>
      <c r="J59" s="55">
        <v>0.2</v>
      </c>
      <c r="K59" s="49"/>
      <c r="L59" s="56"/>
      <c r="M59" s="61">
        <v>4</v>
      </c>
      <c r="N59" s="62">
        <v>6</v>
      </c>
      <c r="O59" s="62">
        <v>6</v>
      </c>
      <c r="P59" s="62">
        <v>7</v>
      </c>
      <c r="Q59" s="62">
        <v>4</v>
      </c>
      <c r="R59" s="62">
        <v>6</v>
      </c>
      <c r="S59" s="62">
        <v>0</v>
      </c>
      <c r="T59" s="63">
        <v>6</v>
      </c>
      <c r="U59" s="66" t="e">
        <f t="shared" ca="1" si="19"/>
        <v>#DIV/0!</v>
      </c>
      <c r="V59" s="66">
        <f t="shared" ca="1" si="20"/>
        <v>0.2</v>
      </c>
      <c r="W59" s="70">
        <f t="shared" si="21"/>
        <v>0.63157894736842102</v>
      </c>
      <c r="X59" s="70">
        <f t="shared" si="22"/>
        <v>0.63157894736842102</v>
      </c>
      <c r="Y59" s="70">
        <f t="shared" si="23"/>
        <v>0.84210526315789469</v>
      </c>
      <c r="Z59" s="70">
        <f t="shared" si="24"/>
        <v>1.2280701754385965</v>
      </c>
      <c r="AA59" s="70">
        <f t="shared" si="25"/>
        <v>0.35087719298245612</v>
      </c>
      <c r="AB59" s="70">
        <f t="shared" si="26"/>
        <v>0.73684210526315785</v>
      </c>
      <c r="AC59" s="70">
        <f t="shared" si="27"/>
        <v>0</v>
      </c>
      <c r="AD59" s="71">
        <f t="shared" si="28"/>
        <v>0.63157894736842102</v>
      </c>
      <c r="AE59" s="72">
        <f t="shared" si="29"/>
        <v>0.7</v>
      </c>
      <c r="AF59" s="72">
        <f t="shared" ca="1" si="30"/>
        <v>0.8</v>
      </c>
      <c r="AG59" s="73">
        <f t="shared" ca="1" si="31"/>
        <v>0.73333333333333339</v>
      </c>
      <c r="AH59" s="456">
        <f t="shared" si="32"/>
        <v>5.0526315789473681</v>
      </c>
      <c r="AI59" s="467">
        <f t="shared" ca="1" si="33"/>
        <v>37.05263157894737</v>
      </c>
      <c r="AJ59" s="458" t="str">
        <f t="shared" ca="1" si="34"/>
        <v>Q4</v>
      </c>
      <c r="AK59" s="373" t="s">
        <v>360</v>
      </c>
      <c r="AL59" s="111"/>
      <c r="AM59" s="117"/>
      <c r="AN59" s="113"/>
      <c r="AO59" s="113"/>
      <c r="AP59" s="113"/>
      <c r="AQ59" s="121">
        <v>150000</v>
      </c>
      <c r="AR59" s="436"/>
      <c r="AS59" s="437"/>
      <c r="AT59" s="437"/>
      <c r="AU59" s="437"/>
      <c r="AV59" s="437">
        <f t="shared" si="36"/>
        <v>172128.45009374994</v>
      </c>
      <c r="AW59" s="94"/>
    </row>
    <row r="60" spans="1:49" ht="36" customHeight="1">
      <c r="A60" s="1">
        <v>178</v>
      </c>
      <c r="B60" s="625">
        <v>132</v>
      </c>
      <c r="C60" s="425" t="s">
        <v>18</v>
      </c>
      <c r="D60" s="370" t="s">
        <v>7</v>
      </c>
      <c r="E60" s="461" t="s">
        <v>1307</v>
      </c>
      <c r="F60" s="462" t="s">
        <v>1507</v>
      </c>
      <c r="G60" s="720" t="s">
        <v>254</v>
      </c>
      <c r="H60" s="599">
        <v>7500000</v>
      </c>
      <c r="I60" s="376">
        <v>4</v>
      </c>
      <c r="J60" s="490">
        <v>0.1</v>
      </c>
      <c r="K60" s="376"/>
      <c r="L60" s="491"/>
      <c r="M60" s="429">
        <v>6.0000000000000036</v>
      </c>
      <c r="N60" s="430">
        <v>8</v>
      </c>
      <c r="O60" s="430">
        <v>2</v>
      </c>
      <c r="P60" s="430">
        <v>5</v>
      </c>
      <c r="Q60" s="430">
        <v>2</v>
      </c>
      <c r="R60" s="430">
        <v>9</v>
      </c>
      <c r="S60" s="62">
        <v>0</v>
      </c>
      <c r="T60" s="63">
        <v>10</v>
      </c>
      <c r="U60" s="379" t="e">
        <f t="shared" ca="1" si="19"/>
        <v>#DIV/0!</v>
      </c>
      <c r="V60" s="379">
        <f t="shared" ca="1" si="20"/>
        <v>0.1</v>
      </c>
      <c r="W60" s="70">
        <f t="shared" si="21"/>
        <v>0.94736842105263208</v>
      </c>
      <c r="X60" s="70">
        <f t="shared" si="22"/>
        <v>0.84210526315789469</v>
      </c>
      <c r="Y60" s="70">
        <f t="shared" si="23"/>
        <v>0.2807017543859649</v>
      </c>
      <c r="Z60" s="70">
        <f t="shared" si="24"/>
        <v>0.8771929824561403</v>
      </c>
      <c r="AA60" s="70">
        <f t="shared" si="25"/>
        <v>0.17543859649122806</v>
      </c>
      <c r="AB60" s="70">
        <f t="shared" si="26"/>
        <v>1.1052631578947369</v>
      </c>
      <c r="AC60" s="70">
        <f t="shared" si="27"/>
        <v>0</v>
      </c>
      <c r="AD60" s="71">
        <f t="shared" si="28"/>
        <v>1.0526315789473684</v>
      </c>
      <c r="AE60" s="72">
        <f t="shared" si="29"/>
        <v>0.6</v>
      </c>
      <c r="AF60" s="72">
        <f t="shared" ca="1" si="30"/>
        <v>0.9</v>
      </c>
      <c r="AG60" s="73">
        <f t="shared" ca="1" si="31"/>
        <v>0.70000000000000007</v>
      </c>
      <c r="AH60" s="455">
        <f t="shared" si="32"/>
        <v>5.2807017543859649</v>
      </c>
      <c r="AI60" s="466">
        <f t="shared" ca="1" si="33"/>
        <v>36.964912280701753</v>
      </c>
      <c r="AJ60" s="458" t="str">
        <f t="shared" ca="1" si="34"/>
        <v>Q4</v>
      </c>
      <c r="AK60" s="373" t="s">
        <v>360</v>
      </c>
      <c r="AL60" s="111"/>
      <c r="AM60" s="117"/>
      <c r="AN60" s="113"/>
      <c r="AO60" s="113"/>
      <c r="AP60" s="113"/>
      <c r="AQ60" s="121">
        <v>500000</v>
      </c>
      <c r="AR60" s="436"/>
      <c r="AS60" s="437"/>
      <c r="AT60" s="437"/>
      <c r="AU60" s="437"/>
      <c r="AV60" s="437">
        <f t="shared" si="36"/>
        <v>573761.50031249982</v>
      </c>
      <c r="AW60" s="92"/>
    </row>
    <row r="61" spans="1:49" s="228" customFormat="1" ht="36" customHeight="1">
      <c r="A61" s="5"/>
      <c r="B61" s="625">
        <v>133</v>
      </c>
      <c r="C61" s="14" t="s">
        <v>8</v>
      </c>
      <c r="D61" s="442" t="s">
        <v>7</v>
      </c>
      <c r="E61" s="7" t="s">
        <v>1124</v>
      </c>
      <c r="F61" s="8" t="s">
        <v>1463</v>
      </c>
      <c r="G61" s="8"/>
      <c r="H61" s="600">
        <v>1215000</v>
      </c>
      <c r="I61" s="49">
        <v>4</v>
      </c>
      <c r="J61" s="427">
        <v>0.4</v>
      </c>
      <c r="K61" s="49"/>
      <c r="L61" s="428"/>
      <c r="M61" s="429">
        <v>8</v>
      </c>
      <c r="N61" s="430">
        <v>8</v>
      </c>
      <c r="O61" s="430">
        <v>5</v>
      </c>
      <c r="P61" s="430">
        <v>8</v>
      </c>
      <c r="Q61" s="430">
        <v>7</v>
      </c>
      <c r="R61" s="430">
        <v>4</v>
      </c>
      <c r="S61" s="430">
        <v>0</v>
      </c>
      <c r="T61" s="63">
        <v>8</v>
      </c>
      <c r="U61" s="66" t="e">
        <f t="shared" ca="1" si="19"/>
        <v>#DIV/0!</v>
      </c>
      <c r="V61" s="66">
        <f t="shared" ca="1" si="20"/>
        <v>0.4</v>
      </c>
      <c r="W61" s="70">
        <f t="shared" si="21"/>
        <v>1.263157894736842</v>
      </c>
      <c r="X61" s="70">
        <f t="shared" si="22"/>
        <v>0.84210526315789469</v>
      </c>
      <c r="Y61" s="70">
        <f t="shared" si="23"/>
        <v>0.70175438596491224</v>
      </c>
      <c r="Z61" s="70">
        <f t="shared" si="24"/>
        <v>1.4035087719298245</v>
      </c>
      <c r="AA61" s="70">
        <f t="shared" si="25"/>
        <v>0.61403508771929827</v>
      </c>
      <c r="AB61" s="70">
        <f t="shared" si="26"/>
        <v>0.49122807017543857</v>
      </c>
      <c r="AC61" s="70">
        <f t="shared" si="27"/>
        <v>0</v>
      </c>
      <c r="AD61" s="71">
        <f t="shared" si="28"/>
        <v>0.84210526315789469</v>
      </c>
      <c r="AE61" s="72">
        <f t="shared" si="29"/>
        <v>0.6</v>
      </c>
      <c r="AF61" s="72">
        <f t="shared" ca="1" si="30"/>
        <v>0.6</v>
      </c>
      <c r="AG61" s="73">
        <f t="shared" ca="1" si="31"/>
        <v>0.6</v>
      </c>
      <c r="AH61" s="456">
        <f t="shared" si="32"/>
        <v>6.1578947368421044</v>
      </c>
      <c r="AI61" s="467">
        <f t="shared" ca="1" si="33"/>
        <v>36.94736842105263</v>
      </c>
      <c r="AJ61" s="458" t="str">
        <f t="shared" ca="1" si="34"/>
        <v>Q3</v>
      </c>
      <c r="AK61" s="95" t="s">
        <v>360</v>
      </c>
      <c r="AL61" s="111"/>
      <c r="AM61" s="118"/>
      <c r="AN61" s="119"/>
      <c r="AO61" s="113"/>
      <c r="AP61" s="113"/>
      <c r="AQ61" s="121"/>
      <c r="AR61" s="436"/>
      <c r="AS61" s="437"/>
      <c r="AT61" s="437"/>
      <c r="AU61" s="437"/>
      <c r="AV61" s="437"/>
      <c r="AW61" s="94"/>
    </row>
    <row r="62" spans="1:49" ht="36" customHeight="1">
      <c r="A62" s="1">
        <v>78</v>
      </c>
      <c r="B62" s="625">
        <v>138</v>
      </c>
      <c r="C62" s="2" t="s">
        <v>28</v>
      </c>
      <c r="D62" s="370" t="s">
        <v>7</v>
      </c>
      <c r="E62" s="374" t="s">
        <v>29</v>
      </c>
      <c r="F62" s="375" t="s">
        <v>1211</v>
      </c>
      <c r="G62" s="375"/>
      <c r="H62" s="601">
        <v>250000</v>
      </c>
      <c r="I62" s="380">
        <v>4</v>
      </c>
      <c r="J62" s="377">
        <v>0.3</v>
      </c>
      <c r="K62" s="376"/>
      <c r="L62" s="378"/>
      <c r="M62" s="61">
        <v>6</v>
      </c>
      <c r="N62" s="62">
        <v>8</v>
      </c>
      <c r="O62" s="62">
        <v>3</v>
      </c>
      <c r="P62" s="62">
        <v>9.9999999999999982</v>
      </c>
      <c r="Q62" s="62">
        <v>0</v>
      </c>
      <c r="R62" s="62">
        <v>6.0000000000000036</v>
      </c>
      <c r="S62" s="62">
        <v>4</v>
      </c>
      <c r="T62" s="63">
        <v>6.0000000000000036</v>
      </c>
      <c r="U62" s="379" t="e">
        <f t="shared" ca="1" si="19"/>
        <v>#DIV/0!</v>
      </c>
      <c r="V62" s="379">
        <f t="shared" ca="1" si="20"/>
        <v>0.3</v>
      </c>
      <c r="W62" s="70">
        <f t="shared" si="21"/>
        <v>0.94736842105263153</v>
      </c>
      <c r="X62" s="70">
        <f t="shared" si="22"/>
        <v>0.84210526315789469</v>
      </c>
      <c r="Y62" s="70">
        <f t="shared" si="23"/>
        <v>0.42105263157894735</v>
      </c>
      <c r="Z62" s="70">
        <f t="shared" si="24"/>
        <v>1.7543859649122804</v>
      </c>
      <c r="AA62" s="70">
        <f t="shared" si="25"/>
        <v>0</v>
      </c>
      <c r="AB62" s="70">
        <f t="shared" si="26"/>
        <v>0.73684210526315841</v>
      </c>
      <c r="AC62" s="70">
        <f t="shared" si="27"/>
        <v>0.42105263157894735</v>
      </c>
      <c r="AD62" s="71">
        <f t="shared" si="28"/>
        <v>0.63157894736842146</v>
      </c>
      <c r="AE62" s="72">
        <f t="shared" si="29"/>
        <v>0.6</v>
      </c>
      <c r="AF62" s="72">
        <f t="shared" ca="1" si="30"/>
        <v>0.7</v>
      </c>
      <c r="AG62" s="73">
        <f t="shared" ca="1" si="31"/>
        <v>0.6333333333333333</v>
      </c>
      <c r="AH62" s="455">
        <f t="shared" si="32"/>
        <v>5.7543859649122808</v>
      </c>
      <c r="AI62" s="466">
        <f t="shared" ca="1" si="33"/>
        <v>36.444444444444443</v>
      </c>
      <c r="AJ62" s="458" t="str">
        <f t="shared" ca="1" si="34"/>
        <v>Q4</v>
      </c>
      <c r="AK62" s="373" t="s">
        <v>360</v>
      </c>
      <c r="AL62" s="573"/>
      <c r="AM62" s="117"/>
      <c r="AN62" s="113"/>
      <c r="AO62" s="113"/>
      <c r="AP62" s="113"/>
      <c r="AQ62" s="121"/>
      <c r="AR62" s="436"/>
      <c r="AS62" s="437"/>
      <c r="AT62" s="437"/>
      <c r="AU62" s="437"/>
      <c r="AV62" s="437"/>
      <c r="AW62" s="92"/>
    </row>
    <row r="63" spans="1:49" ht="36" customHeight="1">
      <c r="A63" s="5">
        <v>216</v>
      </c>
      <c r="B63" s="625">
        <v>139</v>
      </c>
      <c r="C63" s="6" t="s">
        <v>12</v>
      </c>
      <c r="D63" s="371" t="s">
        <v>418</v>
      </c>
      <c r="E63" s="12" t="s">
        <v>1239</v>
      </c>
      <c r="F63" s="13" t="s">
        <v>1238</v>
      </c>
      <c r="G63" s="13" t="s">
        <v>289</v>
      </c>
      <c r="H63" s="603">
        <v>100000</v>
      </c>
      <c r="I63" s="50">
        <v>4</v>
      </c>
      <c r="J63" s="55">
        <v>0.4</v>
      </c>
      <c r="K63" s="49"/>
      <c r="L63" s="56"/>
      <c r="M63" s="61">
        <v>7</v>
      </c>
      <c r="N63" s="62">
        <v>7</v>
      </c>
      <c r="O63" s="62">
        <v>4.0000000000000027</v>
      </c>
      <c r="P63" s="62">
        <v>8.0000000000000053</v>
      </c>
      <c r="Q63" s="62">
        <v>5</v>
      </c>
      <c r="R63" s="62">
        <v>8.0000000000000053</v>
      </c>
      <c r="S63" s="62">
        <v>0</v>
      </c>
      <c r="T63" s="63">
        <v>8</v>
      </c>
      <c r="U63" s="66" t="e">
        <f t="shared" ca="1" si="19"/>
        <v>#DIV/0!</v>
      </c>
      <c r="V63" s="66">
        <f t="shared" ca="1" si="20"/>
        <v>0.4</v>
      </c>
      <c r="W63" s="70">
        <f t="shared" si="21"/>
        <v>1.1052631578947369</v>
      </c>
      <c r="X63" s="70">
        <f t="shared" si="22"/>
        <v>0.73684210526315785</v>
      </c>
      <c r="Y63" s="70">
        <f t="shared" si="23"/>
        <v>0.56140350877193024</v>
      </c>
      <c r="Z63" s="70">
        <f t="shared" si="24"/>
        <v>1.4035087719298256</v>
      </c>
      <c r="AA63" s="70">
        <f t="shared" si="25"/>
        <v>0.43859649122807015</v>
      </c>
      <c r="AB63" s="70">
        <f t="shared" si="26"/>
        <v>0.9824561403508778</v>
      </c>
      <c r="AC63" s="70">
        <f t="shared" si="27"/>
        <v>0</v>
      </c>
      <c r="AD63" s="71">
        <f t="shared" si="28"/>
        <v>0.84210526315789469</v>
      </c>
      <c r="AE63" s="72">
        <f t="shared" si="29"/>
        <v>0.6</v>
      </c>
      <c r="AF63" s="72">
        <f t="shared" ca="1" si="30"/>
        <v>0.6</v>
      </c>
      <c r="AG63" s="73">
        <f t="shared" ca="1" si="31"/>
        <v>0.6</v>
      </c>
      <c r="AH63" s="456">
        <f t="shared" si="32"/>
        <v>6.0701754385964932</v>
      </c>
      <c r="AI63" s="467">
        <f t="shared" ca="1" si="33"/>
        <v>36.421052631578959</v>
      </c>
      <c r="AJ63" s="458" t="str">
        <f t="shared" ca="1" si="34"/>
        <v>Q3</v>
      </c>
      <c r="AK63" s="95" t="s">
        <v>360</v>
      </c>
      <c r="AL63" s="111"/>
      <c r="AM63" s="117"/>
      <c r="AN63" s="113"/>
      <c r="AO63" s="113"/>
      <c r="AP63" s="113"/>
      <c r="AQ63" s="121"/>
      <c r="AR63" s="436"/>
      <c r="AS63" s="437"/>
      <c r="AT63" s="437"/>
      <c r="AU63" s="437"/>
      <c r="AV63" s="437"/>
      <c r="AW63" s="94"/>
    </row>
    <row r="64" spans="1:49" ht="36" customHeight="1">
      <c r="A64" s="5"/>
      <c r="B64" s="625">
        <v>140</v>
      </c>
      <c r="C64" s="14" t="s">
        <v>8</v>
      </c>
      <c r="D64" s="442" t="s">
        <v>7</v>
      </c>
      <c r="E64" s="7" t="s">
        <v>147</v>
      </c>
      <c r="F64" s="8" t="s">
        <v>148</v>
      </c>
      <c r="G64" s="8" t="s">
        <v>149</v>
      </c>
      <c r="H64" s="600">
        <v>1226000</v>
      </c>
      <c r="I64" s="50">
        <v>4</v>
      </c>
      <c r="J64" s="55">
        <v>0.1</v>
      </c>
      <c r="K64" s="49"/>
      <c r="L64" s="56"/>
      <c r="M64" s="61">
        <v>8.0000000000000053</v>
      </c>
      <c r="N64" s="62">
        <v>6.0000000000000036</v>
      </c>
      <c r="O64" s="62">
        <v>2</v>
      </c>
      <c r="P64" s="62">
        <v>3</v>
      </c>
      <c r="Q64" s="62">
        <v>8.0000000000000053</v>
      </c>
      <c r="R64" s="62">
        <v>6.0000000000000036</v>
      </c>
      <c r="S64" s="62">
        <v>2</v>
      </c>
      <c r="T64" s="63">
        <v>8.0000000000000053</v>
      </c>
      <c r="U64" s="66" t="e">
        <f t="shared" ca="1" si="19"/>
        <v>#DIV/0!</v>
      </c>
      <c r="V64" s="66">
        <f t="shared" ca="1" si="20"/>
        <v>0.1</v>
      </c>
      <c r="W64" s="70">
        <f t="shared" si="21"/>
        <v>1.2631578947368429</v>
      </c>
      <c r="X64" s="70">
        <f t="shared" si="22"/>
        <v>0.63157894736842146</v>
      </c>
      <c r="Y64" s="70">
        <f t="shared" si="23"/>
        <v>0.2807017543859649</v>
      </c>
      <c r="Z64" s="70">
        <f t="shared" si="24"/>
        <v>0.52631578947368418</v>
      </c>
      <c r="AA64" s="70">
        <f t="shared" si="25"/>
        <v>0.7017543859649128</v>
      </c>
      <c r="AB64" s="70">
        <f t="shared" si="26"/>
        <v>0.73684210526315841</v>
      </c>
      <c r="AC64" s="70">
        <f t="shared" si="27"/>
        <v>0.21052631578947367</v>
      </c>
      <c r="AD64" s="71">
        <f t="shared" si="28"/>
        <v>0.84210526315789525</v>
      </c>
      <c r="AE64" s="72">
        <f t="shared" si="29"/>
        <v>0.6</v>
      </c>
      <c r="AF64" s="72">
        <f t="shared" ca="1" si="30"/>
        <v>0.9</v>
      </c>
      <c r="AG64" s="73">
        <f t="shared" ca="1" si="31"/>
        <v>0.70000000000000007</v>
      </c>
      <c r="AH64" s="456">
        <f t="shared" si="32"/>
        <v>5.1929824561403537</v>
      </c>
      <c r="AI64" s="467">
        <f t="shared" ca="1" si="33"/>
        <v>36.35087719298248</v>
      </c>
      <c r="AJ64" s="458" t="str">
        <f t="shared" ca="1" si="34"/>
        <v>Q4</v>
      </c>
      <c r="AK64" s="95" t="s">
        <v>360</v>
      </c>
      <c r="AL64" s="572"/>
      <c r="AM64" s="117"/>
      <c r="AN64" s="113"/>
      <c r="AO64" s="113"/>
      <c r="AP64" s="113"/>
      <c r="AQ64" s="121"/>
      <c r="AR64" s="436"/>
      <c r="AS64" s="437"/>
      <c r="AT64" s="437"/>
      <c r="AU64" s="437"/>
      <c r="AV64" s="437"/>
      <c r="AW64" s="94"/>
    </row>
    <row r="65" spans="1:49" ht="36" customHeight="1">
      <c r="A65" s="5"/>
      <c r="B65" s="625">
        <v>141</v>
      </c>
      <c r="C65" s="14" t="s">
        <v>8</v>
      </c>
      <c r="D65" s="442" t="s">
        <v>7</v>
      </c>
      <c r="E65" s="7" t="s">
        <v>440</v>
      </c>
      <c r="F65" s="614" t="s">
        <v>1109</v>
      </c>
      <c r="G65" s="116"/>
      <c r="H65" s="600">
        <v>225000</v>
      </c>
      <c r="I65" s="50">
        <v>3</v>
      </c>
      <c r="J65" s="55">
        <v>0.1</v>
      </c>
      <c r="K65" s="49"/>
      <c r="L65" s="56"/>
      <c r="M65" s="61">
        <v>8</v>
      </c>
      <c r="N65" s="62">
        <v>6</v>
      </c>
      <c r="O65" s="62">
        <v>2</v>
      </c>
      <c r="P65" s="62">
        <v>5</v>
      </c>
      <c r="Q65" s="62">
        <v>2</v>
      </c>
      <c r="R65" s="62">
        <v>2</v>
      </c>
      <c r="S65" s="62">
        <v>4</v>
      </c>
      <c r="T65" s="63">
        <v>8</v>
      </c>
      <c r="U65" s="66" t="e">
        <f t="shared" ca="1" si="19"/>
        <v>#DIV/0!</v>
      </c>
      <c r="V65" s="66">
        <f t="shared" ca="1" si="20"/>
        <v>0.1</v>
      </c>
      <c r="W65" s="70">
        <f t="shared" si="21"/>
        <v>1.263157894736842</v>
      </c>
      <c r="X65" s="70">
        <f t="shared" si="22"/>
        <v>0.63157894736842102</v>
      </c>
      <c r="Y65" s="70">
        <f t="shared" si="23"/>
        <v>0.2807017543859649</v>
      </c>
      <c r="Z65" s="70">
        <f t="shared" si="24"/>
        <v>0.8771929824561403</v>
      </c>
      <c r="AA65" s="70">
        <f t="shared" si="25"/>
        <v>0.17543859649122806</v>
      </c>
      <c r="AB65" s="70">
        <f t="shared" si="26"/>
        <v>0.24561403508771928</v>
      </c>
      <c r="AC65" s="70">
        <f t="shared" si="27"/>
        <v>0.42105263157894735</v>
      </c>
      <c r="AD65" s="71">
        <f t="shared" si="28"/>
        <v>0.84210526315789469</v>
      </c>
      <c r="AE65" s="72">
        <f t="shared" si="29"/>
        <v>0.7</v>
      </c>
      <c r="AF65" s="72">
        <f t="shared" ca="1" si="30"/>
        <v>0.9</v>
      </c>
      <c r="AG65" s="73">
        <f t="shared" ca="1" si="31"/>
        <v>0.76666666666666661</v>
      </c>
      <c r="AH65" s="456">
        <f t="shared" si="32"/>
        <v>4.7368421052631575</v>
      </c>
      <c r="AI65" s="467">
        <f t="shared" ca="1" si="33"/>
        <v>36.315789473684205</v>
      </c>
      <c r="AJ65" s="458" t="str">
        <f t="shared" ca="1" si="34"/>
        <v>Q2</v>
      </c>
      <c r="AK65" s="95" t="s">
        <v>360</v>
      </c>
      <c r="AL65" s="111"/>
      <c r="AM65" s="421"/>
      <c r="AN65" s="113"/>
      <c r="AO65" s="119"/>
      <c r="AP65" s="119"/>
      <c r="AQ65" s="121"/>
      <c r="AR65" s="436"/>
      <c r="AS65" s="437"/>
      <c r="AT65" s="437"/>
      <c r="AU65" s="437"/>
      <c r="AV65" s="437"/>
      <c r="AW65" s="94"/>
    </row>
    <row r="66" spans="1:49" ht="36" customHeight="1">
      <c r="A66" s="5"/>
      <c r="B66" s="625">
        <v>142</v>
      </c>
      <c r="C66" s="14" t="s">
        <v>6</v>
      </c>
      <c r="D66" s="442" t="s">
        <v>7</v>
      </c>
      <c r="E66" s="7" t="s">
        <v>124</v>
      </c>
      <c r="F66" s="8" t="s">
        <v>1405</v>
      </c>
      <c r="G66" s="8"/>
      <c r="H66" s="600">
        <v>2000000</v>
      </c>
      <c r="I66" s="49">
        <v>4</v>
      </c>
      <c r="J66" s="55">
        <v>0.1</v>
      </c>
      <c r="K66" s="49"/>
      <c r="L66" s="56"/>
      <c r="M66" s="61">
        <v>6.0000000000000036</v>
      </c>
      <c r="N66" s="62">
        <v>6.0000000000000036</v>
      </c>
      <c r="O66" s="62">
        <v>4</v>
      </c>
      <c r="P66" s="62">
        <v>6.0000000000000036</v>
      </c>
      <c r="Q66" s="62">
        <v>1</v>
      </c>
      <c r="R66" s="62">
        <v>6.0000000000000036</v>
      </c>
      <c r="S66" s="62">
        <v>5</v>
      </c>
      <c r="T66" s="63">
        <v>6.0000000000000036</v>
      </c>
      <c r="U66" s="66" t="e">
        <f t="shared" ca="1" si="19"/>
        <v>#DIV/0!</v>
      </c>
      <c r="V66" s="66">
        <f t="shared" ca="1" si="20"/>
        <v>0.1</v>
      </c>
      <c r="W66" s="70">
        <f t="shared" si="21"/>
        <v>0.94736842105263208</v>
      </c>
      <c r="X66" s="70">
        <f t="shared" si="22"/>
        <v>0.63157894736842146</v>
      </c>
      <c r="Y66" s="70">
        <f t="shared" si="23"/>
        <v>0.56140350877192979</v>
      </c>
      <c r="Z66" s="70">
        <f t="shared" si="24"/>
        <v>1.052631578947369</v>
      </c>
      <c r="AA66" s="70">
        <f t="shared" si="25"/>
        <v>8.771929824561403E-2</v>
      </c>
      <c r="AB66" s="70">
        <f t="shared" si="26"/>
        <v>0.73684210526315841</v>
      </c>
      <c r="AC66" s="70">
        <f t="shared" si="27"/>
        <v>0.52631578947368418</v>
      </c>
      <c r="AD66" s="71">
        <f t="shared" si="28"/>
        <v>0.63157894736842146</v>
      </c>
      <c r="AE66" s="72">
        <f t="shared" si="29"/>
        <v>0.6</v>
      </c>
      <c r="AF66" s="72">
        <f t="shared" ca="1" si="30"/>
        <v>0.9</v>
      </c>
      <c r="AG66" s="73">
        <f t="shared" ca="1" si="31"/>
        <v>0.70000000000000007</v>
      </c>
      <c r="AH66" s="456">
        <f t="shared" si="32"/>
        <v>5.1754385964912304</v>
      </c>
      <c r="AI66" s="467">
        <f t="shared" ca="1" si="33"/>
        <v>36.228070175438617</v>
      </c>
      <c r="AJ66" s="458" t="str">
        <f t="shared" ca="1" si="34"/>
        <v>Q4</v>
      </c>
      <c r="AK66" s="93" t="s">
        <v>360</v>
      </c>
      <c r="AL66" s="110"/>
      <c r="AM66" s="117"/>
      <c r="AN66" s="113"/>
      <c r="AO66" s="113"/>
      <c r="AP66" s="113"/>
      <c r="AQ66" s="121"/>
      <c r="AR66" s="436"/>
      <c r="AS66" s="437"/>
      <c r="AT66" s="437"/>
      <c r="AU66" s="437"/>
      <c r="AV66" s="437"/>
      <c r="AW66" s="94"/>
    </row>
    <row r="67" spans="1:49" ht="36" customHeight="1">
      <c r="A67" s="5">
        <v>72</v>
      </c>
      <c r="B67" s="625">
        <v>143</v>
      </c>
      <c r="C67" s="14" t="s">
        <v>6</v>
      </c>
      <c r="D67" s="442" t="s">
        <v>7</v>
      </c>
      <c r="E67" s="7" t="s">
        <v>113</v>
      </c>
      <c r="F67" s="8" t="s">
        <v>1096</v>
      </c>
      <c r="G67" s="8"/>
      <c r="H67" s="607">
        <v>1480000</v>
      </c>
      <c r="I67" s="49">
        <v>3</v>
      </c>
      <c r="J67" s="55">
        <v>0.3</v>
      </c>
      <c r="K67" s="49"/>
      <c r="L67" s="56"/>
      <c r="M67" s="61">
        <v>5</v>
      </c>
      <c r="N67" s="62">
        <v>7</v>
      </c>
      <c r="O67" s="62">
        <v>3</v>
      </c>
      <c r="P67" s="62">
        <v>8</v>
      </c>
      <c r="Q67" s="62">
        <v>0</v>
      </c>
      <c r="R67" s="62">
        <v>8</v>
      </c>
      <c r="S67" s="62">
        <v>0</v>
      </c>
      <c r="T67" s="63">
        <v>8</v>
      </c>
      <c r="U67" s="66" t="e">
        <f t="shared" ca="1" si="19"/>
        <v>#DIV/0!</v>
      </c>
      <c r="V67" s="66">
        <f t="shared" ca="1" si="20"/>
        <v>0.3</v>
      </c>
      <c r="W67" s="70">
        <f t="shared" si="21"/>
        <v>0.78947368421052633</v>
      </c>
      <c r="X67" s="70">
        <f t="shared" si="22"/>
        <v>0.73684210526315785</v>
      </c>
      <c r="Y67" s="70">
        <f t="shared" si="23"/>
        <v>0.42105263157894735</v>
      </c>
      <c r="Z67" s="70">
        <f t="shared" si="24"/>
        <v>1.4035087719298245</v>
      </c>
      <c r="AA67" s="70">
        <f t="shared" si="25"/>
        <v>0</v>
      </c>
      <c r="AB67" s="70">
        <f t="shared" si="26"/>
        <v>0.98245614035087714</v>
      </c>
      <c r="AC67" s="70">
        <f t="shared" si="27"/>
        <v>0</v>
      </c>
      <c r="AD67" s="71">
        <f t="shared" si="28"/>
        <v>0.84210526315789469</v>
      </c>
      <c r="AE67" s="72">
        <f t="shared" si="29"/>
        <v>0.7</v>
      </c>
      <c r="AF67" s="72">
        <f t="shared" ca="1" si="30"/>
        <v>0.7</v>
      </c>
      <c r="AG67" s="73">
        <f t="shared" ca="1" si="31"/>
        <v>0.69999999999999984</v>
      </c>
      <c r="AH67" s="456">
        <f t="shared" si="32"/>
        <v>5.1754385964912277</v>
      </c>
      <c r="AI67" s="467">
        <f t="shared" ca="1" si="33"/>
        <v>36.228070175438589</v>
      </c>
      <c r="AJ67" s="458" t="str">
        <f t="shared" ca="1" si="34"/>
        <v>Q4</v>
      </c>
      <c r="AK67" s="93" t="s">
        <v>360</v>
      </c>
      <c r="AL67" s="570"/>
      <c r="AM67" s="117"/>
      <c r="AN67" s="113"/>
      <c r="AO67" s="113"/>
      <c r="AP67" s="113"/>
      <c r="AQ67" s="121"/>
      <c r="AR67" s="436"/>
      <c r="AS67" s="437"/>
      <c r="AT67" s="437"/>
      <c r="AU67" s="437"/>
      <c r="AV67" s="437"/>
      <c r="AW67" s="94"/>
    </row>
    <row r="68" spans="1:49" ht="36" customHeight="1">
      <c r="A68" s="5"/>
      <c r="B68" s="625">
        <v>144</v>
      </c>
      <c r="C68" s="6" t="s">
        <v>12</v>
      </c>
      <c r="D68" s="371" t="s">
        <v>7</v>
      </c>
      <c r="E68" s="18" t="s">
        <v>183</v>
      </c>
      <c r="F68" s="20" t="s">
        <v>1194</v>
      </c>
      <c r="G68" s="20" t="s">
        <v>184</v>
      </c>
      <c r="H68" s="604">
        <v>140000</v>
      </c>
      <c r="I68" s="50">
        <v>3</v>
      </c>
      <c r="J68" s="55">
        <v>0.2</v>
      </c>
      <c r="K68" s="49"/>
      <c r="L68" s="56"/>
      <c r="M68" s="61">
        <v>6</v>
      </c>
      <c r="N68" s="62">
        <v>1</v>
      </c>
      <c r="O68" s="62">
        <v>6.0000000000000036</v>
      </c>
      <c r="P68" s="62">
        <v>8.0000000000000053</v>
      </c>
      <c r="Q68" s="62">
        <v>4.0000000000000027</v>
      </c>
      <c r="R68" s="62">
        <v>1</v>
      </c>
      <c r="S68" s="62">
        <v>4</v>
      </c>
      <c r="T68" s="63">
        <v>7.0000000000000044</v>
      </c>
      <c r="U68" s="66" t="e">
        <f t="shared" ca="1" si="19"/>
        <v>#DIV/0!</v>
      </c>
      <c r="V68" s="66">
        <f t="shared" ca="1" si="20"/>
        <v>0.2</v>
      </c>
      <c r="W68" s="70">
        <f t="shared" si="21"/>
        <v>0.94736842105263153</v>
      </c>
      <c r="X68" s="70">
        <f t="shared" si="22"/>
        <v>0.10526315789473684</v>
      </c>
      <c r="Y68" s="70">
        <f t="shared" si="23"/>
        <v>0.84210526315789525</v>
      </c>
      <c r="Z68" s="70">
        <f t="shared" si="24"/>
        <v>1.4035087719298256</v>
      </c>
      <c r="AA68" s="70">
        <f t="shared" si="25"/>
        <v>0.3508771929824564</v>
      </c>
      <c r="AB68" s="70">
        <f t="shared" si="26"/>
        <v>0.12280701754385964</v>
      </c>
      <c r="AC68" s="70">
        <f t="shared" si="27"/>
        <v>0.42105263157894735</v>
      </c>
      <c r="AD68" s="71">
        <f t="shared" si="28"/>
        <v>0.73684210526315841</v>
      </c>
      <c r="AE68" s="72">
        <f t="shared" si="29"/>
        <v>0.7</v>
      </c>
      <c r="AF68" s="72">
        <f t="shared" ca="1" si="30"/>
        <v>0.8</v>
      </c>
      <c r="AG68" s="73">
        <f t="shared" ca="1" si="31"/>
        <v>0.73333333333333339</v>
      </c>
      <c r="AH68" s="456">
        <f t="shared" si="32"/>
        <v>4.9298245614035112</v>
      </c>
      <c r="AI68" s="467">
        <f t="shared" ca="1" si="33"/>
        <v>36.15204678362575</v>
      </c>
      <c r="AJ68" s="458" t="str">
        <f t="shared" ca="1" si="34"/>
        <v>Q4</v>
      </c>
      <c r="AK68" s="95" t="s">
        <v>360</v>
      </c>
      <c r="AL68" s="111"/>
      <c r="AM68" s="117"/>
      <c r="AN68" s="113"/>
      <c r="AO68" s="113"/>
      <c r="AP68" s="113"/>
      <c r="AQ68" s="121"/>
      <c r="AR68" s="436"/>
      <c r="AS68" s="437"/>
      <c r="AT68" s="437"/>
      <c r="AU68" s="437"/>
      <c r="AV68" s="437"/>
      <c r="AW68" s="94"/>
    </row>
    <row r="69" spans="1:49" ht="36" customHeight="1">
      <c r="A69" s="5">
        <v>95</v>
      </c>
      <c r="B69" s="625">
        <v>145</v>
      </c>
      <c r="C69" s="6" t="s">
        <v>6</v>
      </c>
      <c r="D69" s="371" t="s">
        <v>7</v>
      </c>
      <c r="E69" s="7" t="s">
        <v>1115</v>
      </c>
      <c r="F69" s="9" t="s">
        <v>1266</v>
      </c>
      <c r="G69" s="8"/>
      <c r="H69" s="600">
        <v>180000</v>
      </c>
      <c r="I69" s="49">
        <v>3</v>
      </c>
      <c r="J69" s="55">
        <v>0.2</v>
      </c>
      <c r="K69" s="49"/>
      <c r="L69" s="56"/>
      <c r="M69" s="61">
        <v>5</v>
      </c>
      <c r="N69" s="62">
        <v>8</v>
      </c>
      <c r="O69" s="62">
        <v>3</v>
      </c>
      <c r="P69" s="62">
        <v>4</v>
      </c>
      <c r="Q69" s="62">
        <v>6</v>
      </c>
      <c r="R69" s="62">
        <v>4</v>
      </c>
      <c r="S69" s="62">
        <v>4</v>
      </c>
      <c r="T69" s="63">
        <v>7</v>
      </c>
      <c r="U69" s="66" t="e">
        <f t="shared" ca="1" si="19"/>
        <v>#DIV/0!</v>
      </c>
      <c r="V69" s="66">
        <f t="shared" ca="1" si="20"/>
        <v>0.2</v>
      </c>
      <c r="W69" s="70">
        <f t="shared" si="21"/>
        <v>0.78947368421052633</v>
      </c>
      <c r="X69" s="70">
        <f t="shared" si="22"/>
        <v>0.84210526315789469</v>
      </c>
      <c r="Y69" s="70">
        <f t="shared" si="23"/>
        <v>0.42105263157894735</v>
      </c>
      <c r="Z69" s="70">
        <f t="shared" si="24"/>
        <v>0.70175438596491224</v>
      </c>
      <c r="AA69" s="70">
        <f t="shared" si="25"/>
        <v>0.52631578947368418</v>
      </c>
      <c r="AB69" s="70">
        <f t="shared" si="26"/>
        <v>0.49122807017543857</v>
      </c>
      <c r="AC69" s="70">
        <f t="shared" si="27"/>
        <v>0.42105263157894735</v>
      </c>
      <c r="AD69" s="71">
        <f t="shared" si="28"/>
        <v>0.73684210526315785</v>
      </c>
      <c r="AE69" s="72">
        <f t="shared" si="29"/>
        <v>0.7</v>
      </c>
      <c r="AF69" s="72">
        <f t="shared" ca="1" si="30"/>
        <v>0.8</v>
      </c>
      <c r="AG69" s="73">
        <f t="shared" ca="1" si="31"/>
        <v>0.73333333333333339</v>
      </c>
      <c r="AH69" s="456">
        <f t="shared" si="32"/>
        <v>4.9298245614035086</v>
      </c>
      <c r="AI69" s="467">
        <f t="shared" ca="1" si="33"/>
        <v>36.152046783625728</v>
      </c>
      <c r="AJ69" s="458" t="str">
        <f t="shared" ca="1" si="34"/>
        <v>Q4</v>
      </c>
      <c r="AK69" s="95" t="s">
        <v>360</v>
      </c>
      <c r="AL69" s="111"/>
      <c r="AM69" s="117"/>
      <c r="AN69" s="113"/>
      <c r="AO69" s="113"/>
      <c r="AP69" s="113"/>
      <c r="AQ69" s="121"/>
      <c r="AR69" s="436"/>
      <c r="AS69" s="437"/>
      <c r="AT69" s="437"/>
      <c r="AU69" s="437"/>
      <c r="AV69" s="437"/>
      <c r="AW69" s="94"/>
    </row>
    <row r="70" spans="1:49" ht="36" customHeight="1">
      <c r="A70" s="5"/>
      <c r="B70" s="625">
        <v>146</v>
      </c>
      <c r="C70" s="6" t="s">
        <v>6</v>
      </c>
      <c r="D70" s="371" t="s">
        <v>7</v>
      </c>
      <c r="E70" s="7" t="s">
        <v>323</v>
      </c>
      <c r="F70" s="9" t="s">
        <v>456</v>
      </c>
      <c r="G70" s="8"/>
      <c r="H70" s="607">
        <v>325000</v>
      </c>
      <c r="I70" s="50">
        <v>3</v>
      </c>
      <c r="J70" s="55">
        <v>0.3</v>
      </c>
      <c r="K70" s="49"/>
      <c r="L70" s="56"/>
      <c r="M70" s="61">
        <v>6.0000000000000036</v>
      </c>
      <c r="N70" s="62">
        <v>8.0000000000000053</v>
      </c>
      <c r="O70" s="62">
        <v>3</v>
      </c>
      <c r="P70" s="62">
        <v>8</v>
      </c>
      <c r="Q70" s="62">
        <v>2</v>
      </c>
      <c r="R70" s="62">
        <v>6.0000000000000036</v>
      </c>
      <c r="S70" s="62">
        <v>0</v>
      </c>
      <c r="T70" s="63">
        <v>6.0000000000000036</v>
      </c>
      <c r="U70" s="66" t="e">
        <f t="shared" ref="U70:U101" ca="1" si="37">(L70-(YEAR(TODAY())-K70))/L70</f>
        <v>#DIV/0!</v>
      </c>
      <c r="V70" s="66">
        <f t="shared" ref="V70:V101" ca="1" si="38">IFERROR(U70,J70)</f>
        <v>0.3</v>
      </c>
      <c r="W70" s="70">
        <f t="shared" ref="W70:W101" si="39">M70*Weight1/(WSum)</f>
        <v>0.94736842105263208</v>
      </c>
      <c r="X70" s="70">
        <f t="shared" ref="X70:X101" si="40">N70*Weight2/(WSum)</f>
        <v>0.84210526315789525</v>
      </c>
      <c r="Y70" s="70">
        <f t="shared" ref="Y70:Y101" si="41">O70*Weight3/(WSum)</f>
        <v>0.42105263157894735</v>
      </c>
      <c r="Z70" s="70">
        <f t="shared" ref="Z70:Z101" si="42">P70*Weight4/(WSum)</f>
        <v>1.4035087719298245</v>
      </c>
      <c r="AA70" s="70">
        <f t="shared" ref="AA70:AA101" si="43">Q70*Weight5/(WSum)</f>
        <v>0.17543859649122806</v>
      </c>
      <c r="AB70" s="70">
        <f t="shared" ref="AB70:AB101" si="44">R70*Weight6/(WSum)</f>
        <v>0.73684210526315841</v>
      </c>
      <c r="AC70" s="70">
        <f t="shared" ref="AC70:AC101" si="45">S70*Weight7/(WSum)</f>
        <v>0</v>
      </c>
      <c r="AD70" s="71">
        <f t="shared" ref="AD70:AD101" si="46">T70*Weight8/(WSum)</f>
        <v>0.63157894736842146</v>
      </c>
      <c r="AE70" s="72">
        <f t="shared" ref="AE70:AE101" si="47">-1/10*I70+1</f>
        <v>0.7</v>
      </c>
      <c r="AF70" s="72">
        <f t="shared" ref="AF70:AF101" ca="1" si="48">IF(V70&lt;0,0,-V70+1)</f>
        <v>0.7</v>
      </c>
      <c r="AG70" s="73">
        <f t="shared" ref="AG70:AG101" ca="1" si="49">(AE70*CondWeight+AF70*PLifeWeight)/(CondWeight+PLifeWeight)</f>
        <v>0.69999999999999984</v>
      </c>
      <c r="AH70" s="456">
        <f t="shared" ref="AH70:AH101" si="50">SUM(W70:AD70)</f>
        <v>5.1578947368421071</v>
      </c>
      <c r="AI70" s="467">
        <f t="shared" ref="AI70:AI101" ca="1" si="51">AH70*AG70*10</f>
        <v>36.10526315789474</v>
      </c>
      <c r="AJ70" s="458" t="str">
        <f t="shared" ref="AJ70:AJ101" ca="1" si="52">IF(AG70&gt;$AG$2,IF(AH70&gt;$AH$2,"Q1","Q2"),IF(AH70&gt;$AH$2,"Q3","Q4"))</f>
        <v>Q4</v>
      </c>
      <c r="AK70" s="95" t="s">
        <v>360</v>
      </c>
      <c r="AL70" s="111"/>
      <c r="AM70" s="117"/>
      <c r="AN70" s="113"/>
      <c r="AO70" s="113"/>
      <c r="AP70" s="113"/>
      <c r="AQ70" s="121"/>
      <c r="AR70" s="436"/>
      <c r="AS70" s="437"/>
      <c r="AT70" s="437"/>
      <c r="AU70" s="437"/>
      <c r="AV70" s="437"/>
      <c r="AW70" s="94"/>
    </row>
    <row r="71" spans="1:49" ht="36" customHeight="1">
      <c r="A71" s="5">
        <v>73</v>
      </c>
      <c r="B71" s="625">
        <v>147</v>
      </c>
      <c r="C71" s="14" t="s">
        <v>6</v>
      </c>
      <c r="D71" s="442" t="s">
        <v>7</v>
      </c>
      <c r="E71" s="7" t="s">
        <v>1092</v>
      </c>
      <c r="F71" s="9" t="s">
        <v>1383</v>
      </c>
      <c r="G71" s="8"/>
      <c r="H71" s="600">
        <v>225000</v>
      </c>
      <c r="I71" s="50">
        <v>3</v>
      </c>
      <c r="J71" s="55">
        <v>0.2</v>
      </c>
      <c r="K71" s="49"/>
      <c r="L71" s="56"/>
      <c r="M71" s="61">
        <v>6.0000000000000036</v>
      </c>
      <c r="N71" s="62">
        <v>8.0000000000000053</v>
      </c>
      <c r="O71" s="62">
        <v>4.0000000000000027</v>
      </c>
      <c r="P71" s="62">
        <v>6.0000000000000036</v>
      </c>
      <c r="Q71" s="62">
        <v>3</v>
      </c>
      <c r="R71" s="62">
        <v>5</v>
      </c>
      <c r="S71" s="62">
        <v>0</v>
      </c>
      <c r="T71" s="63">
        <v>6.0000000000000036</v>
      </c>
      <c r="U71" s="66" t="e">
        <f t="shared" ca="1" si="37"/>
        <v>#DIV/0!</v>
      </c>
      <c r="V71" s="66">
        <f t="shared" ca="1" si="38"/>
        <v>0.2</v>
      </c>
      <c r="W71" s="70">
        <f t="shared" si="39"/>
        <v>0.94736842105263208</v>
      </c>
      <c r="X71" s="70">
        <f t="shared" si="40"/>
        <v>0.84210526315789525</v>
      </c>
      <c r="Y71" s="70">
        <f t="shared" si="41"/>
        <v>0.56140350877193024</v>
      </c>
      <c r="Z71" s="70">
        <f t="shared" si="42"/>
        <v>1.052631578947369</v>
      </c>
      <c r="AA71" s="70">
        <f t="shared" si="43"/>
        <v>0.26315789473684209</v>
      </c>
      <c r="AB71" s="70">
        <f t="shared" si="44"/>
        <v>0.61403508771929827</v>
      </c>
      <c r="AC71" s="70">
        <f t="shared" si="45"/>
        <v>0</v>
      </c>
      <c r="AD71" s="71">
        <f t="shared" si="46"/>
        <v>0.63157894736842146</v>
      </c>
      <c r="AE71" s="72">
        <f t="shared" si="47"/>
        <v>0.7</v>
      </c>
      <c r="AF71" s="72">
        <f t="shared" ca="1" si="48"/>
        <v>0.8</v>
      </c>
      <c r="AG71" s="73">
        <f t="shared" ca="1" si="49"/>
        <v>0.73333333333333339</v>
      </c>
      <c r="AH71" s="456">
        <f t="shared" si="50"/>
        <v>4.9122807017543879</v>
      </c>
      <c r="AI71" s="467">
        <f t="shared" ca="1" si="51"/>
        <v>36.023391812865512</v>
      </c>
      <c r="AJ71" s="458" t="str">
        <f t="shared" ca="1" si="52"/>
        <v>Q4</v>
      </c>
      <c r="AK71" s="95" t="s">
        <v>360</v>
      </c>
      <c r="AL71" s="111"/>
      <c r="AM71" s="117"/>
      <c r="AN71" s="113"/>
      <c r="AO71" s="113"/>
      <c r="AP71" s="113"/>
      <c r="AQ71" s="121"/>
      <c r="AR71" s="436"/>
      <c r="AS71" s="437"/>
      <c r="AT71" s="437"/>
      <c r="AU71" s="437"/>
      <c r="AV71" s="437"/>
      <c r="AW71" s="94"/>
    </row>
    <row r="72" spans="1:49" ht="36" customHeight="1">
      <c r="A72" s="5"/>
      <c r="B72" s="625">
        <v>148</v>
      </c>
      <c r="C72" s="14" t="s">
        <v>6</v>
      </c>
      <c r="D72" s="442" t="s">
        <v>7</v>
      </c>
      <c r="E72" s="7" t="s">
        <v>429</v>
      </c>
      <c r="F72" s="8" t="s">
        <v>1267</v>
      </c>
      <c r="G72" s="8"/>
      <c r="H72" s="600">
        <v>580000</v>
      </c>
      <c r="I72" s="50">
        <v>3</v>
      </c>
      <c r="J72" s="55">
        <v>0.3</v>
      </c>
      <c r="K72" s="49"/>
      <c r="L72" s="56"/>
      <c r="M72" s="61">
        <v>6</v>
      </c>
      <c r="N72" s="62">
        <v>8</v>
      </c>
      <c r="O72" s="62">
        <v>4</v>
      </c>
      <c r="P72" s="62">
        <v>4</v>
      </c>
      <c r="Q72" s="62">
        <v>6</v>
      </c>
      <c r="R72" s="62">
        <v>4</v>
      </c>
      <c r="S72" s="62">
        <v>4</v>
      </c>
      <c r="T72" s="63">
        <v>6</v>
      </c>
      <c r="U72" s="66" t="e">
        <f t="shared" ca="1" si="37"/>
        <v>#DIV/0!</v>
      </c>
      <c r="V72" s="66">
        <f t="shared" ca="1" si="38"/>
        <v>0.3</v>
      </c>
      <c r="W72" s="70">
        <f t="shared" si="39"/>
        <v>0.94736842105263153</v>
      </c>
      <c r="X72" s="70">
        <f t="shared" si="40"/>
        <v>0.84210526315789469</v>
      </c>
      <c r="Y72" s="70">
        <f t="shared" si="41"/>
        <v>0.56140350877192979</v>
      </c>
      <c r="Z72" s="70">
        <f t="shared" si="42"/>
        <v>0.70175438596491224</v>
      </c>
      <c r="AA72" s="70">
        <f t="shared" si="43"/>
        <v>0.52631578947368418</v>
      </c>
      <c r="AB72" s="70">
        <f t="shared" si="44"/>
        <v>0.49122807017543857</v>
      </c>
      <c r="AC72" s="70">
        <f t="shared" si="45"/>
        <v>0.42105263157894735</v>
      </c>
      <c r="AD72" s="71">
        <f t="shared" si="46"/>
        <v>0.63157894736842102</v>
      </c>
      <c r="AE72" s="72">
        <f t="shared" si="47"/>
        <v>0.7</v>
      </c>
      <c r="AF72" s="72">
        <f t="shared" ca="1" si="48"/>
        <v>0.7</v>
      </c>
      <c r="AG72" s="73">
        <f t="shared" ca="1" si="49"/>
        <v>0.69999999999999984</v>
      </c>
      <c r="AH72" s="456">
        <f t="shared" si="50"/>
        <v>5.1228070175438596</v>
      </c>
      <c r="AI72" s="467">
        <f t="shared" ca="1" si="51"/>
        <v>35.859649122807006</v>
      </c>
      <c r="AJ72" s="458" t="str">
        <f t="shared" ca="1" si="52"/>
        <v>Q4</v>
      </c>
      <c r="AK72" s="95" t="s">
        <v>360</v>
      </c>
      <c r="AL72" s="572"/>
      <c r="AM72" s="118"/>
      <c r="AN72" s="119"/>
      <c r="AO72" s="119"/>
      <c r="AP72" s="119"/>
      <c r="AQ72" s="586"/>
      <c r="AR72" s="436"/>
      <c r="AS72" s="437"/>
      <c r="AT72" s="437"/>
      <c r="AU72" s="437"/>
      <c r="AV72" s="437"/>
      <c r="AW72" s="94"/>
    </row>
    <row r="73" spans="1:49" ht="36" customHeight="1">
      <c r="A73" s="5">
        <v>109</v>
      </c>
      <c r="B73" s="625">
        <v>149</v>
      </c>
      <c r="C73" s="14" t="s">
        <v>6</v>
      </c>
      <c r="D73" s="442" t="s">
        <v>7</v>
      </c>
      <c r="E73" s="10" t="s">
        <v>423</v>
      </c>
      <c r="F73" s="11" t="s">
        <v>1331</v>
      </c>
      <c r="G73" s="133"/>
      <c r="H73" s="613">
        <v>750000</v>
      </c>
      <c r="I73" s="50">
        <v>3</v>
      </c>
      <c r="J73" s="55">
        <v>0.3</v>
      </c>
      <c r="K73" s="49"/>
      <c r="L73" s="56"/>
      <c r="M73" s="61">
        <v>6</v>
      </c>
      <c r="N73" s="62">
        <v>8</v>
      </c>
      <c r="O73" s="62">
        <v>4</v>
      </c>
      <c r="P73" s="62">
        <v>4</v>
      </c>
      <c r="Q73" s="62">
        <v>6</v>
      </c>
      <c r="R73" s="62">
        <v>4</v>
      </c>
      <c r="S73" s="62">
        <v>4</v>
      </c>
      <c r="T73" s="63">
        <v>6</v>
      </c>
      <c r="U73" s="66" t="e">
        <f t="shared" ca="1" si="37"/>
        <v>#DIV/0!</v>
      </c>
      <c r="V73" s="66">
        <f t="shared" ca="1" si="38"/>
        <v>0.3</v>
      </c>
      <c r="W73" s="70">
        <f t="shared" si="39"/>
        <v>0.94736842105263153</v>
      </c>
      <c r="X73" s="70">
        <f t="shared" si="40"/>
        <v>0.84210526315789469</v>
      </c>
      <c r="Y73" s="70">
        <f t="shared" si="41"/>
        <v>0.56140350877192979</v>
      </c>
      <c r="Z73" s="70">
        <f t="shared" si="42"/>
        <v>0.70175438596491224</v>
      </c>
      <c r="AA73" s="70">
        <f t="shared" si="43"/>
        <v>0.52631578947368418</v>
      </c>
      <c r="AB73" s="70">
        <f t="shared" si="44"/>
        <v>0.49122807017543857</v>
      </c>
      <c r="AC73" s="70">
        <f t="shared" si="45"/>
        <v>0.42105263157894735</v>
      </c>
      <c r="AD73" s="71">
        <f t="shared" si="46"/>
        <v>0.63157894736842102</v>
      </c>
      <c r="AE73" s="72">
        <f t="shared" si="47"/>
        <v>0.7</v>
      </c>
      <c r="AF73" s="72">
        <f t="shared" ca="1" si="48"/>
        <v>0.7</v>
      </c>
      <c r="AG73" s="73">
        <f t="shared" ca="1" si="49"/>
        <v>0.69999999999999984</v>
      </c>
      <c r="AH73" s="456">
        <f t="shared" si="50"/>
        <v>5.1228070175438596</v>
      </c>
      <c r="AI73" s="467">
        <f t="shared" ca="1" si="51"/>
        <v>35.859649122807006</v>
      </c>
      <c r="AJ73" s="458" t="str">
        <f t="shared" ca="1" si="52"/>
        <v>Q4</v>
      </c>
      <c r="AK73" s="93" t="s">
        <v>360</v>
      </c>
      <c r="AL73" s="110"/>
      <c r="AM73" s="117"/>
      <c r="AN73" s="113"/>
      <c r="AO73" s="113"/>
      <c r="AP73" s="119"/>
      <c r="AQ73" s="121"/>
      <c r="AR73" s="436"/>
      <c r="AS73" s="437"/>
      <c r="AT73" s="437"/>
      <c r="AU73" s="437"/>
      <c r="AV73" s="437"/>
      <c r="AW73" s="94"/>
    </row>
    <row r="74" spans="1:49" ht="36" customHeight="1">
      <c r="A74" s="5">
        <v>75</v>
      </c>
      <c r="B74" s="625">
        <v>150</v>
      </c>
      <c r="C74" s="14" t="s">
        <v>6</v>
      </c>
      <c r="D74" s="442" t="s">
        <v>7</v>
      </c>
      <c r="E74" s="7" t="s">
        <v>430</v>
      </c>
      <c r="F74" s="9" t="s">
        <v>1347</v>
      </c>
      <c r="G74" s="116"/>
      <c r="H74" s="600">
        <v>450000</v>
      </c>
      <c r="I74" s="50">
        <v>3</v>
      </c>
      <c r="J74" s="55">
        <v>0.3</v>
      </c>
      <c r="K74" s="49"/>
      <c r="L74" s="56"/>
      <c r="M74" s="61">
        <v>6</v>
      </c>
      <c r="N74" s="62">
        <v>8</v>
      </c>
      <c r="O74" s="62">
        <v>4</v>
      </c>
      <c r="P74" s="62">
        <v>4</v>
      </c>
      <c r="Q74" s="62">
        <v>6</v>
      </c>
      <c r="R74" s="62">
        <v>4</v>
      </c>
      <c r="S74" s="62">
        <v>4</v>
      </c>
      <c r="T74" s="63">
        <v>6</v>
      </c>
      <c r="U74" s="66" t="e">
        <f t="shared" ca="1" si="37"/>
        <v>#DIV/0!</v>
      </c>
      <c r="V74" s="66">
        <f t="shared" ca="1" si="38"/>
        <v>0.3</v>
      </c>
      <c r="W74" s="70">
        <f t="shared" si="39"/>
        <v>0.94736842105263153</v>
      </c>
      <c r="X74" s="70">
        <f t="shared" si="40"/>
        <v>0.84210526315789469</v>
      </c>
      <c r="Y74" s="70">
        <f t="shared" si="41"/>
        <v>0.56140350877192979</v>
      </c>
      <c r="Z74" s="70">
        <f t="shared" si="42"/>
        <v>0.70175438596491224</v>
      </c>
      <c r="AA74" s="70">
        <f t="shared" si="43"/>
        <v>0.52631578947368418</v>
      </c>
      <c r="AB74" s="70">
        <f t="shared" si="44"/>
        <v>0.49122807017543857</v>
      </c>
      <c r="AC74" s="70">
        <f t="shared" si="45"/>
        <v>0.42105263157894735</v>
      </c>
      <c r="AD74" s="71">
        <f t="shared" si="46"/>
        <v>0.63157894736842102</v>
      </c>
      <c r="AE74" s="72">
        <f t="shared" si="47"/>
        <v>0.7</v>
      </c>
      <c r="AF74" s="72">
        <f t="shared" ca="1" si="48"/>
        <v>0.7</v>
      </c>
      <c r="AG74" s="73">
        <f t="shared" ca="1" si="49"/>
        <v>0.69999999999999984</v>
      </c>
      <c r="AH74" s="456">
        <f t="shared" si="50"/>
        <v>5.1228070175438596</v>
      </c>
      <c r="AI74" s="467">
        <f t="shared" ca="1" si="51"/>
        <v>35.859649122807006</v>
      </c>
      <c r="AJ74" s="458" t="str">
        <f t="shared" ca="1" si="52"/>
        <v>Q4</v>
      </c>
      <c r="AK74" s="93" t="s">
        <v>360</v>
      </c>
      <c r="AL74" s="570"/>
      <c r="AM74" s="117"/>
      <c r="AN74" s="113"/>
      <c r="AO74" s="113"/>
      <c r="AP74" s="113"/>
      <c r="AQ74" s="121"/>
      <c r="AR74" s="436"/>
      <c r="AS74" s="437"/>
      <c r="AT74" s="437"/>
      <c r="AU74" s="437"/>
      <c r="AV74" s="437"/>
      <c r="AW74" s="94"/>
    </row>
    <row r="75" spans="1:49" ht="36" customHeight="1">
      <c r="A75" s="5">
        <v>91</v>
      </c>
      <c r="B75" s="625">
        <v>155</v>
      </c>
      <c r="C75" s="6" t="s">
        <v>6</v>
      </c>
      <c r="D75" s="371" t="s">
        <v>7</v>
      </c>
      <c r="E75" s="7" t="s">
        <v>70</v>
      </c>
      <c r="F75" s="9" t="s">
        <v>1496</v>
      </c>
      <c r="G75" s="8"/>
      <c r="H75" s="600">
        <v>450000</v>
      </c>
      <c r="I75" s="49">
        <v>4</v>
      </c>
      <c r="J75" s="55">
        <v>0.4</v>
      </c>
      <c r="K75" s="49"/>
      <c r="L75" s="56"/>
      <c r="M75" s="61">
        <v>6.0000000000000036</v>
      </c>
      <c r="N75" s="62">
        <v>7</v>
      </c>
      <c r="O75" s="62">
        <v>5</v>
      </c>
      <c r="P75" s="62">
        <v>5</v>
      </c>
      <c r="Q75" s="62">
        <v>4</v>
      </c>
      <c r="R75" s="62">
        <v>6</v>
      </c>
      <c r="S75" s="62">
        <v>7</v>
      </c>
      <c r="T75" s="63">
        <v>8.0000000000000053</v>
      </c>
      <c r="U75" s="66" t="e">
        <f t="shared" ca="1" si="37"/>
        <v>#DIV/0!</v>
      </c>
      <c r="V75" s="66">
        <f t="shared" ca="1" si="38"/>
        <v>0.4</v>
      </c>
      <c r="W75" s="70">
        <f t="shared" si="39"/>
        <v>0.94736842105263208</v>
      </c>
      <c r="X75" s="70">
        <f t="shared" si="40"/>
        <v>0.73684210526315785</v>
      </c>
      <c r="Y75" s="70">
        <f t="shared" si="41"/>
        <v>0.70175438596491224</v>
      </c>
      <c r="Z75" s="70">
        <f t="shared" si="42"/>
        <v>0.8771929824561403</v>
      </c>
      <c r="AA75" s="70">
        <f t="shared" si="43"/>
        <v>0.35087719298245612</v>
      </c>
      <c r="AB75" s="70">
        <f t="shared" si="44"/>
        <v>0.73684210526315785</v>
      </c>
      <c r="AC75" s="70">
        <f t="shared" si="45"/>
        <v>0.73684210526315785</v>
      </c>
      <c r="AD75" s="71">
        <f t="shared" si="46"/>
        <v>0.84210526315789525</v>
      </c>
      <c r="AE75" s="72">
        <f t="shared" si="47"/>
        <v>0.6</v>
      </c>
      <c r="AF75" s="72">
        <f t="shared" ca="1" si="48"/>
        <v>0.6</v>
      </c>
      <c r="AG75" s="73">
        <f t="shared" ca="1" si="49"/>
        <v>0.6</v>
      </c>
      <c r="AH75" s="456">
        <f t="shared" si="50"/>
        <v>5.9298245614035094</v>
      </c>
      <c r="AI75" s="467">
        <f t="shared" ca="1" si="51"/>
        <v>35.578947368421055</v>
      </c>
      <c r="AJ75" s="458" t="str">
        <f t="shared" ca="1" si="52"/>
        <v>Q4</v>
      </c>
      <c r="AK75" s="93" t="s">
        <v>360</v>
      </c>
      <c r="AL75" s="110" t="s">
        <v>514</v>
      </c>
      <c r="AM75" s="117"/>
      <c r="AN75" s="113"/>
      <c r="AO75" s="113"/>
      <c r="AP75" s="113"/>
      <c r="AQ75" s="121"/>
      <c r="AR75" s="436"/>
      <c r="AS75" s="437"/>
      <c r="AT75" s="437"/>
      <c r="AU75" s="437"/>
      <c r="AV75" s="437"/>
      <c r="AW75" s="94"/>
    </row>
    <row r="76" spans="1:49" ht="36" customHeight="1">
      <c r="A76" s="5">
        <v>92</v>
      </c>
      <c r="B76" s="625">
        <v>156</v>
      </c>
      <c r="C76" s="6" t="s">
        <v>20</v>
      </c>
      <c r="D76" s="371" t="s">
        <v>7</v>
      </c>
      <c r="E76" s="18" t="s">
        <v>155</v>
      </c>
      <c r="F76" s="20" t="s">
        <v>1508</v>
      </c>
      <c r="G76" s="20" t="s">
        <v>156</v>
      </c>
      <c r="H76" s="603">
        <v>192000</v>
      </c>
      <c r="I76" s="50">
        <v>3</v>
      </c>
      <c r="J76" s="55">
        <v>0.3</v>
      </c>
      <c r="K76" s="49"/>
      <c r="L76" s="56"/>
      <c r="M76" s="61">
        <v>5</v>
      </c>
      <c r="N76" s="62">
        <v>1</v>
      </c>
      <c r="O76" s="62">
        <v>6.0000000000000036</v>
      </c>
      <c r="P76" s="62">
        <v>7.0000000000000044</v>
      </c>
      <c r="Q76" s="62">
        <v>6.0000000000000036</v>
      </c>
      <c r="R76" s="62">
        <v>6.0000000000000036</v>
      </c>
      <c r="S76" s="62">
        <v>1</v>
      </c>
      <c r="T76" s="63">
        <v>7.0000000000000044</v>
      </c>
      <c r="U76" s="66" t="e">
        <f t="shared" ca="1" si="37"/>
        <v>#DIV/0!</v>
      </c>
      <c r="V76" s="66">
        <f t="shared" ca="1" si="38"/>
        <v>0.3</v>
      </c>
      <c r="W76" s="70">
        <f t="shared" si="39"/>
        <v>0.78947368421052633</v>
      </c>
      <c r="X76" s="70">
        <f t="shared" si="40"/>
        <v>0.10526315789473684</v>
      </c>
      <c r="Y76" s="70">
        <f t="shared" si="41"/>
        <v>0.84210526315789525</v>
      </c>
      <c r="Z76" s="70">
        <f t="shared" si="42"/>
        <v>1.2280701754385972</v>
      </c>
      <c r="AA76" s="70">
        <f t="shared" si="43"/>
        <v>0.52631578947368451</v>
      </c>
      <c r="AB76" s="70">
        <f t="shared" si="44"/>
        <v>0.73684210526315841</v>
      </c>
      <c r="AC76" s="70">
        <f t="shared" si="45"/>
        <v>0.10526315789473684</v>
      </c>
      <c r="AD76" s="71">
        <f t="shared" si="46"/>
        <v>0.73684210526315841</v>
      </c>
      <c r="AE76" s="72">
        <f t="shared" si="47"/>
        <v>0.7</v>
      </c>
      <c r="AF76" s="72">
        <f t="shared" ca="1" si="48"/>
        <v>0.7</v>
      </c>
      <c r="AG76" s="73">
        <f t="shared" ca="1" si="49"/>
        <v>0.69999999999999984</v>
      </c>
      <c r="AH76" s="456">
        <f t="shared" si="50"/>
        <v>5.0701754385964941</v>
      </c>
      <c r="AI76" s="467">
        <f t="shared" ca="1" si="51"/>
        <v>35.491228070175453</v>
      </c>
      <c r="AJ76" s="458" t="str">
        <f t="shared" ca="1" si="52"/>
        <v>Q4</v>
      </c>
      <c r="AK76" s="95" t="s">
        <v>360</v>
      </c>
      <c r="AL76" s="111"/>
      <c r="AM76" s="117"/>
      <c r="AN76" s="113"/>
      <c r="AO76" s="113"/>
      <c r="AP76" s="113"/>
      <c r="AQ76" s="121"/>
      <c r="AR76" s="436"/>
      <c r="AS76" s="437"/>
      <c r="AT76" s="437"/>
      <c r="AU76" s="437"/>
      <c r="AV76" s="437"/>
      <c r="AW76" s="94"/>
    </row>
    <row r="77" spans="1:49" ht="36" customHeight="1">
      <c r="A77" s="5"/>
      <c r="B77" s="625">
        <v>157</v>
      </c>
      <c r="C77" s="6" t="s">
        <v>6</v>
      </c>
      <c r="D77" s="371" t="s">
        <v>7</v>
      </c>
      <c r="E77" s="7" t="s">
        <v>121</v>
      </c>
      <c r="F77" s="9" t="s">
        <v>1213</v>
      </c>
      <c r="G77" s="20"/>
      <c r="H77" s="604">
        <v>325000</v>
      </c>
      <c r="I77" s="50">
        <v>3</v>
      </c>
      <c r="J77" s="55">
        <v>0.3</v>
      </c>
      <c r="K77" s="49"/>
      <c r="L77" s="56"/>
      <c r="M77" s="61">
        <v>6</v>
      </c>
      <c r="N77" s="62">
        <v>8</v>
      </c>
      <c r="O77" s="62">
        <v>4</v>
      </c>
      <c r="P77" s="62">
        <v>4</v>
      </c>
      <c r="Q77" s="62">
        <v>4</v>
      </c>
      <c r="R77" s="62">
        <v>5</v>
      </c>
      <c r="S77" s="62">
        <v>4</v>
      </c>
      <c r="T77" s="63">
        <v>6</v>
      </c>
      <c r="U77" s="66" t="e">
        <f t="shared" ca="1" si="37"/>
        <v>#DIV/0!</v>
      </c>
      <c r="V77" s="66">
        <f t="shared" ca="1" si="38"/>
        <v>0.3</v>
      </c>
      <c r="W77" s="70">
        <f t="shared" si="39"/>
        <v>0.94736842105263153</v>
      </c>
      <c r="X77" s="70">
        <f t="shared" si="40"/>
        <v>0.84210526315789469</v>
      </c>
      <c r="Y77" s="70">
        <f t="shared" si="41"/>
        <v>0.56140350877192979</v>
      </c>
      <c r="Z77" s="70">
        <f t="shared" si="42"/>
        <v>0.70175438596491224</v>
      </c>
      <c r="AA77" s="70">
        <f t="shared" si="43"/>
        <v>0.35087719298245612</v>
      </c>
      <c r="AB77" s="70">
        <f t="shared" si="44"/>
        <v>0.61403508771929827</v>
      </c>
      <c r="AC77" s="70">
        <f t="shared" si="45"/>
        <v>0.42105263157894735</v>
      </c>
      <c r="AD77" s="71">
        <f t="shared" si="46"/>
        <v>0.63157894736842102</v>
      </c>
      <c r="AE77" s="72">
        <f t="shared" si="47"/>
        <v>0.7</v>
      </c>
      <c r="AF77" s="72">
        <f t="shared" ca="1" si="48"/>
        <v>0.7</v>
      </c>
      <c r="AG77" s="73">
        <f t="shared" ca="1" si="49"/>
        <v>0.69999999999999984</v>
      </c>
      <c r="AH77" s="456">
        <f t="shared" si="50"/>
        <v>5.0701754385964914</v>
      </c>
      <c r="AI77" s="467">
        <f t="shared" ca="1" si="51"/>
        <v>35.491228070175431</v>
      </c>
      <c r="AJ77" s="458" t="str">
        <f t="shared" ca="1" si="52"/>
        <v>Q4</v>
      </c>
      <c r="AK77" s="95" t="s">
        <v>360</v>
      </c>
      <c r="AL77" s="573"/>
      <c r="AM77" s="117"/>
      <c r="AN77" s="113"/>
      <c r="AO77" s="113"/>
      <c r="AP77" s="113"/>
      <c r="AQ77" s="121"/>
      <c r="AR77" s="438"/>
      <c r="AS77" s="437"/>
      <c r="AT77" s="437"/>
      <c r="AU77" s="437"/>
      <c r="AV77" s="437"/>
      <c r="AW77" s="94"/>
    </row>
    <row r="78" spans="1:49" ht="36" customHeight="1">
      <c r="A78" s="5"/>
      <c r="B78" s="625">
        <v>158</v>
      </c>
      <c r="C78" s="14" t="s">
        <v>12</v>
      </c>
      <c r="D78" s="442" t="s">
        <v>418</v>
      </c>
      <c r="E78" s="12" t="s">
        <v>445</v>
      </c>
      <c r="F78" s="8" t="s">
        <v>1237</v>
      </c>
      <c r="G78" s="20"/>
      <c r="H78" s="600">
        <v>200000</v>
      </c>
      <c r="I78" s="50">
        <v>3</v>
      </c>
      <c r="J78" s="55">
        <v>0.2</v>
      </c>
      <c r="K78" s="49"/>
      <c r="L78" s="56"/>
      <c r="M78" s="61">
        <v>6</v>
      </c>
      <c r="N78" s="62">
        <v>8</v>
      </c>
      <c r="O78" s="62">
        <v>0</v>
      </c>
      <c r="P78" s="62">
        <v>6</v>
      </c>
      <c r="Q78" s="62">
        <v>6</v>
      </c>
      <c r="R78" s="62">
        <v>5</v>
      </c>
      <c r="S78" s="62">
        <v>0</v>
      </c>
      <c r="T78" s="63">
        <v>8</v>
      </c>
      <c r="U78" s="66" t="e">
        <f t="shared" ca="1" si="37"/>
        <v>#DIV/0!</v>
      </c>
      <c r="V78" s="66">
        <f t="shared" ca="1" si="38"/>
        <v>0.2</v>
      </c>
      <c r="W78" s="70">
        <f t="shared" si="39"/>
        <v>0.94736842105263153</v>
      </c>
      <c r="X78" s="70">
        <f t="shared" si="40"/>
        <v>0.84210526315789469</v>
      </c>
      <c r="Y78" s="70">
        <f t="shared" si="41"/>
        <v>0</v>
      </c>
      <c r="Z78" s="70">
        <f t="shared" si="42"/>
        <v>1.0526315789473684</v>
      </c>
      <c r="AA78" s="70">
        <f t="shared" si="43"/>
        <v>0.52631578947368418</v>
      </c>
      <c r="AB78" s="70">
        <f t="shared" si="44"/>
        <v>0.61403508771929827</v>
      </c>
      <c r="AC78" s="70">
        <f t="shared" si="45"/>
        <v>0</v>
      </c>
      <c r="AD78" s="71">
        <f t="shared" si="46"/>
        <v>0.84210526315789469</v>
      </c>
      <c r="AE78" s="72">
        <f t="shared" si="47"/>
        <v>0.7</v>
      </c>
      <c r="AF78" s="72">
        <f t="shared" ca="1" si="48"/>
        <v>0.8</v>
      </c>
      <c r="AG78" s="73">
        <f t="shared" ca="1" si="49"/>
        <v>0.73333333333333339</v>
      </c>
      <c r="AH78" s="456">
        <f t="shared" si="50"/>
        <v>4.8245614035087723</v>
      </c>
      <c r="AI78" s="467">
        <f t="shared" ca="1" si="51"/>
        <v>35.380116959064331</v>
      </c>
      <c r="AJ78" s="458" t="str">
        <f t="shared" ca="1" si="52"/>
        <v>Q4</v>
      </c>
      <c r="AK78" s="95" t="s">
        <v>360</v>
      </c>
      <c r="AL78" s="572"/>
      <c r="AM78" s="117"/>
      <c r="AN78" s="113"/>
      <c r="AO78" s="113"/>
      <c r="AP78" s="113"/>
      <c r="AQ78" s="586"/>
      <c r="AR78" s="436"/>
      <c r="AS78" s="437"/>
      <c r="AT78" s="437"/>
      <c r="AU78" s="437"/>
      <c r="AV78" s="437"/>
      <c r="AW78" s="94"/>
    </row>
    <row r="79" spans="1:49" ht="36" customHeight="1">
      <c r="A79" s="5"/>
      <c r="B79" s="625">
        <v>160</v>
      </c>
      <c r="C79" s="6" t="s">
        <v>6</v>
      </c>
      <c r="D79" s="371" t="s">
        <v>417</v>
      </c>
      <c r="E79" s="7" t="s">
        <v>1409</v>
      </c>
      <c r="F79" s="9" t="s">
        <v>161</v>
      </c>
      <c r="G79" s="8"/>
      <c r="H79" s="600">
        <v>280000</v>
      </c>
      <c r="I79" s="49">
        <v>3</v>
      </c>
      <c r="J79" s="55">
        <v>0.3</v>
      </c>
      <c r="K79" s="49"/>
      <c r="L79" s="56"/>
      <c r="M79" s="61">
        <v>6.0000000000000036</v>
      </c>
      <c r="N79" s="62">
        <v>8.0000000000000053</v>
      </c>
      <c r="O79" s="62">
        <v>1</v>
      </c>
      <c r="P79" s="62">
        <v>8.0000000000000053</v>
      </c>
      <c r="Q79" s="62">
        <v>4.0000000000000027</v>
      </c>
      <c r="R79" s="62">
        <v>6.0000000000000036</v>
      </c>
      <c r="S79" s="62">
        <v>0</v>
      </c>
      <c r="T79" s="63">
        <v>6.0000000000000036</v>
      </c>
      <c r="U79" s="66" t="e">
        <f t="shared" ca="1" si="37"/>
        <v>#DIV/0!</v>
      </c>
      <c r="V79" s="66">
        <f t="shared" ca="1" si="38"/>
        <v>0.3</v>
      </c>
      <c r="W79" s="70">
        <f t="shared" si="39"/>
        <v>0.94736842105263208</v>
      </c>
      <c r="X79" s="70">
        <f t="shared" si="40"/>
        <v>0.84210526315789525</v>
      </c>
      <c r="Y79" s="70">
        <f t="shared" si="41"/>
        <v>0.14035087719298245</v>
      </c>
      <c r="Z79" s="70">
        <f t="shared" si="42"/>
        <v>1.4035087719298256</v>
      </c>
      <c r="AA79" s="70">
        <f t="shared" si="43"/>
        <v>0.3508771929824564</v>
      </c>
      <c r="AB79" s="70">
        <f t="shared" si="44"/>
        <v>0.73684210526315841</v>
      </c>
      <c r="AC79" s="70">
        <f t="shared" si="45"/>
        <v>0</v>
      </c>
      <c r="AD79" s="71">
        <f t="shared" si="46"/>
        <v>0.63157894736842146</v>
      </c>
      <c r="AE79" s="72">
        <f t="shared" si="47"/>
        <v>0.7</v>
      </c>
      <c r="AF79" s="72">
        <f t="shared" ca="1" si="48"/>
        <v>0.7</v>
      </c>
      <c r="AG79" s="73">
        <f t="shared" ca="1" si="49"/>
        <v>0.69999999999999984</v>
      </c>
      <c r="AH79" s="456">
        <f t="shared" si="50"/>
        <v>5.0526315789473717</v>
      </c>
      <c r="AI79" s="467">
        <f t="shared" ca="1" si="51"/>
        <v>35.368421052631597</v>
      </c>
      <c r="AJ79" s="458" t="str">
        <f t="shared" ca="1" si="52"/>
        <v>Q4</v>
      </c>
      <c r="AK79" s="93" t="s">
        <v>360</v>
      </c>
      <c r="AL79" s="571"/>
      <c r="AM79" s="117"/>
      <c r="AN79" s="123"/>
      <c r="AO79" s="113"/>
      <c r="AP79" s="113"/>
      <c r="AQ79" s="121"/>
      <c r="AR79" s="436"/>
      <c r="AS79" s="437"/>
      <c r="AT79" s="437"/>
      <c r="AU79" s="437"/>
      <c r="AV79" s="437"/>
      <c r="AW79" s="94"/>
    </row>
    <row r="80" spans="1:49" ht="36" customHeight="1">
      <c r="A80" s="5">
        <v>133</v>
      </c>
      <c r="B80" s="625">
        <v>161</v>
      </c>
      <c r="C80" s="6" t="s">
        <v>6</v>
      </c>
      <c r="D80" s="371" t="s">
        <v>7</v>
      </c>
      <c r="E80" s="7" t="s">
        <v>198</v>
      </c>
      <c r="F80" s="9" t="s">
        <v>199</v>
      </c>
      <c r="G80" s="8"/>
      <c r="H80" s="600">
        <v>400000</v>
      </c>
      <c r="I80" s="49">
        <v>3</v>
      </c>
      <c r="J80" s="55">
        <v>0.3</v>
      </c>
      <c r="K80" s="49"/>
      <c r="L80" s="56"/>
      <c r="M80" s="61">
        <v>4</v>
      </c>
      <c r="N80" s="62">
        <v>6.0000000000000036</v>
      </c>
      <c r="O80" s="62">
        <v>6.0000000000000036</v>
      </c>
      <c r="P80" s="62">
        <v>4.0000000000000027</v>
      </c>
      <c r="Q80" s="62">
        <v>4</v>
      </c>
      <c r="R80" s="62">
        <v>6.0000000000000036</v>
      </c>
      <c r="S80" s="62">
        <v>5</v>
      </c>
      <c r="T80" s="63">
        <v>6.0000000000000036</v>
      </c>
      <c r="U80" s="66" t="e">
        <f t="shared" ca="1" si="37"/>
        <v>#DIV/0!</v>
      </c>
      <c r="V80" s="66">
        <f t="shared" ca="1" si="38"/>
        <v>0.3</v>
      </c>
      <c r="W80" s="70">
        <f t="shared" si="39"/>
        <v>0.63157894736842102</v>
      </c>
      <c r="X80" s="70">
        <f t="shared" si="40"/>
        <v>0.63157894736842146</v>
      </c>
      <c r="Y80" s="70">
        <f t="shared" si="41"/>
        <v>0.84210526315789525</v>
      </c>
      <c r="Z80" s="70">
        <f t="shared" si="42"/>
        <v>0.7017543859649128</v>
      </c>
      <c r="AA80" s="70">
        <f t="shared" si="43"/>
        <v>0.35087719298245612</v>
      </c>
      <c r="AB80" s="70">
        <f t="shared" si="44"/>
        <v>0.73684210526315841</v>
      </c>
      <c r="AC80" s="70">
        <f t="shared" si="45"/>
        <v>0.52631578947368418</v>
      </c>
      <c r="AD80" s="71">
        <f t="shared" si="46"/>
        <v>0.63157894736842146</v>
      </c>
      <c r="AE80" s="72">
        <f t="shared" si="47"/>
        <v>0.7</v>
      </c>
      <c r="AF80" s="72">
        <f t="shared" ca="1" si="48"/>
        <v>0.7</v>
      </c>
      <c r="AG80" s="73">
        <f t="shared" ca="1" si="49"/>
        <v>0.69999999999999984</v>
      </c>
      <c r="AH80" s="456">
        <f t="shared" si="50"/>
        <v>5.0526315789473699</v>
      </c>
      <c r="AI80" s="467">
        <f t="shared" ca="1" si="51"/>
        <v>35.368421052631582</v>
      </c>
      <c r="AJ80" s="458" t="str">
        <f t="shared" ca="1" si="52"/>
        <v>Q4</v>
      </c>
      <c r="AK80" s="93" t="s">
        <v>360</v>
      </c>
      <c r="AL80" s="571"/>
      <c r="AM80" s="117"/>
      <c r="AN80" s="113"/>
      <c r="AO80" s="113"/>
      <c r="AP80" s="113"/>
      <c r="AQ80" s="121"/>
      <c r="AR80" s="436"/>
      <c r="AS80" s="437"/>
      <c r="AT80" s="437"/>
      <c r="AU80" s="437"/>
      <c r="AV80" s="437"/>
      <c r="AW80" s="94"/>
    </row>
    <row r="81" spans="1:49" ht="36" customHeight="1">
      <c r="A81" s="5">
        <v>96</v>
      </c>
      <c r="B81" s="625">
        <v>162</v>
      </c>
      <c r="C81" s="6" t="s">
        <v>6</v>
      </c>
      <c r="D81" s="371" t="s">
        <v>7</v>
      </c>
      <c r="E81" s="7" t="s">
        <v>312</v>
      </c>
      <c r="F81" s="9" t="s">
        <v>313</v>
      </c>
      <c r="G81" s="8"/>
      <c r="H81" s="600">
        <v>415000</v>
      </c>
      <c r="I81" s="50">
        <v>3</v>
      </c>
      <c r="J81" s="55">
        <v>0.3</v>
      </c>
      <c r="K81" s="49"/>
      <c r="L81" s="56"/>
      <c r="M81" s="61">
        <v>5</v>
      </c>
      <c r="N81" s="62">
        <v>8</v>
      </c>
      <c r="O81" s="62">
        <v>4.0000000000000027</v>
      </c>
      <c r="P81" s="62">
        <v>6.0000000000000036</v>
      </c>
      <c r="Q81" s="62">
        <v>1</v>
      </c>
      <c r="R81" s="62">
        <v>8</v>
      </c>
      <c r="S81" s="62">
        <v>0</v>
      </c>
      <c r="T81" s="63">
        <v>7</v>
      </c>
      <c r="U81" s="66" t="e">
        <f t="shared" ca="1" si="37"/>
        <v>#DIV/0!</v>
      </c>
      <c r="V81" s="66">
        <f t="shared" ca="1" si="38"/>
        <v>0.3</v>
      </c>
      <c r="W81" s="70">
        <f t="shared" si="39"/>
        <v>0.78947368421052633</v>
      </c>
      <c r="X81" s="70">
        <f t="shared" si="40"/>
        <v>0.84210526315789469</v>
      </c>
      <c r="Y81" s="70">
        <f t="shared" si="41"/>
        <v>0.56140350877193024</v>
      </c>
      <c r="Z81" s="70">
        <f t="shared" si="42"/>
        <v>1.052631578947369</v>
      </c>
      <c r="AA81" s="70">
        <f t="shared" si="43"/>
        <v>8.771929824561403E-2</v>
      </c>
      <c r="AB81" s="70">
        <f t="shared" si="44"/>
        <v>0.98245614035087714</v>
      </c>
      <c r="AC81" s="70">
        <f t="shared" si="45"/>
        <v>0</v>
      </c>
      <c r="AD81" s="71">
        <f t="shared" si="46"/>
        <v>0.73684210526315785</v>
      </c>
      <c r="AE81" s="72">
        <f t="shared" si="47"/>
        <v>0.7</v>
      </c>
      <c r="AF81" s="72">
        <f t="shared" ca="1" si="48"/>
        <v>0.7</v>
      </c>
      <c r="AG81" s="73">
        <f t="shared" ca="1" si="49"/>
        <v>0.69999999999999984</v>
      </c>
      <c r="AH81" s="456">
        <f t="shared" si="50"/>
        <v>5.0526315789473681</v>
      </c>
      <c r="AI81" s="467">
        <f t="shared" ca="1" si="51"/>
        <v>35.368421052631568</v>
      </c>
      <c r="AJ81" s="458" t="str">
        <f t="shared" ca="1" si="52"/>
        <v>Q4</v>
      </c>
      <c r="AK81" s="95" t="s">
        <v>360</v>
      </c>
      <c r="AL81" s="572"/>
      <c r="AM81" s="118"/>
      <c r="AN81" s="113"/>
      <c r="AO81" s="113"/>
      <c r="AP81" s="113"/>
      <c r="AQ81" s="121"/>
      <c r="AR81" s="436"/>
      <c r="AS81" s="437"/>
      <c r="AT81" s="437"/>
      <c r="AU81" s="437"/>
      <c r="AV81" s="437"/>
      <c r="AW81" s="94"/>
    </row>
    <row r="82" spans="1:49" ht="36" customHeight="1">
      <c r="A82" s="5"/>
      <c r="B82" s="625">
        <v>164</v>
      </c>
      <c r="C82" s="6" t="s">
        <v>20</v>
      </c>
      <c r="D82" s="371" t="s">
        <v>7</v>
      </c>
      <c r="E82" s="18" t="s">
        <v>110</v>
      </c>
      <c r="F82" s="20" t="s">
        <v>111</v>
      </c>
      <c r="G82" s="20" t="s">
        <v>112</v>
      </c>
      <c r="H82" s="682">
        <v>123000</v>
      </c>
      <c r="I82" s="380">
        <v>2</v>
      </c>
      <c r="J82" s="377">
        <v>0.2</v>
      </c>
      <c r="K82" s="376"/>
      <c r="L82" s="378"/>
      <c r="M82" s="61">
        <v>6.0000000000000036</v>
      </c>
      <c r="N82" s="62">
        <v>1</v>
      </c>
      <c r="O82" s="62">
        <v>6.0000000000000036</v>
      </c>
      <c r="P82" s="62">
        <v>6.0000000000000036</v>
      </c>
      <c r="Q82" s="62">
        <v>8.0000000000000053</v>
      </c>
      <c r="R82" s="62">
        <v>1</v>
      </c>
      <c r="S82" s="62">
        <v>0</v>
      </c>
      <c r="T82" s="63">
        <v>6.0000000000000036</v>
      </c>
      <c r="U82" s="66" t="e">
        <f t="shared" ca="1" si="37"/>
        <v>#DIV/0!</v>
      </c>
      <c r="V82" s="66">
        <f t="shared" ca="1" si="38"/>
        <v>0.2</v>
      </c>
      <c r="W82" s="70">
        <f t="shared" si="39"/>
        <v>0.94736842105263208</v>
      </c>
      <c r="X82" s="70">
        <f t="shared" si="40"/>
        <v>0.10526315789473684</v>
      </c>
      <c r="Y82" s="70">
        <f t="shared" si="41"/>
        <v>0.84210526315789525</v>
      </c>
      <c r="Z82" s="70">
        <f t="shared" si="42"/>
        <v>1.052631578947369</v>
      </c>
      <c r="AA82" s="70">
        <f t="shared" si="43"/>
        <v>0.7017543859649128</v>
      </c>
      <c r="AB82" s="70">
        <f t="shared" si="44"/>
        <v>0.12280701754385964</v>
      </c>
      <c r="AC82" s="70">
        <f t="shared" si="45"/>
        <v>0</v>
      </c>
      <c r="AD82" s="71">
        <f t="shared" si="46"/>
        <v>0.63157894736842146</v>
      </c>
      <c r="AE82" s="72">
        <f t="shared" si="47"/>
        <v>0.8</v>
      </c>
      <c r="AF82" s="72">
        <f t="shared" ca="1" si="48"/>
        <v>0.8</v>
      </c>
      <c r="AG82" s="73">
        <f t="shared" ca="1" si="49"/>
        <v>0.80000000000000016</v>
      </c>
      <c r="AH82" s="456">
        <f t="shared" si="50"/>
        <v>4.4035087719298271</v>
      </c>
      <c r="AI82" s="467">
        <f t="shared" ca="1" si="51"/>
        <v>35.228070175438624</v>
      </c>
      <c r="AJ82" s="458" t="str">
        <f t="shared" ca="1" si="52"/>
        <v>Q2</v>
      </c>
      <c r="AK82" s="725" t="s">
        <v>360</v>
      </c>
      <c r="AL82" s="573"/>
      <c r="AM82" s="123"/>
      <c r="AN82" s="119"/>
      <c r="AO82" s="119"/>
      <c r="AP82" s="119"/>
      <c r="AQ82" s="667"/>
      <c r="AR82" s="668"/>
      <c r="AS82" s="439"/>
      <c r="AT82" s="439"/>
      <c r="AU82" s="439"/>
      <c r="AV82" s="439"/>
      <c r="AW82" s="94"/>
    </row>
    <row r="83" spans="1:49" ht="36" customHeight="1">
      <c r="A83" s="5">
        <v>114</v>
      </c>
      <c r="B83" s="625">
        <v>165</v>
      </c>
      <c r="C83" s="6" t="s">
        <v>20</v>
      </c>
      <c r="D83" s="371" t="s">
        <v>418</v>
      </c>
      <c r="E83" s="21" t="s">
        <v>1414</v>
      </c>
      <c r="F83" s="11" t="s">
        <v>1422</v>
      </c>
      <c r="G83" s="20"/>
      <c r="H83" s="603">
        <v>160000</v>
      </c>
      <c r="I83" s="50">
        <v>4</v>
      </c>
      <c r="J83" s="55">
        <v>0.3</v>
      </c>
      <c r="K83" s="49"/>
      <c r="L83" s="56"/>
      <c r="M83" s="61">
        <v>6</v>
      </c>
      <c r="N83" s="62">
        <v>7</v>
      </c>
      <c r="O83" s="62">
        <v>6</v>
      </c>
      <c r="P83" s="62">
        <v>6</v>
      </c>
      <c r="Q83" s="62">
        <v>6</v>
      </c>
      <c r="R83" s="62">
        <v>5</v>
      </c>
      <c r="S83" s="62">
        <v>1</v>
      </c>
      <c r="T83" s="63">
        <v>7</v>
      </c>
      <c r="U83" s="66" t="e">
        <f t="shared" ca="1" si="37"/>
        <v>#DIV/0!</v>
      </c>
      <c r="V83" s="66">
        <f t="shared" ca="1" si="38"/>
        <v>0.3</v>
      </c>
      <c r="W83" s="70">
        <f t="shared" si="39"/>
        <v>0.94736842105263153</v>
      </c>
      <c r="X83" s="70">
        <f t="shared" si="40"/>
        <v>0.73684210526315785</v>
      </c>
      <c r="Y83" s="70">
        <f t="shared" si="41"/>
        <v>0.84210526315789469</v>
      </c>
      <c r="Z83" s="70">
        <f t="shared" si="42"/>
        <v>1.0526315789473684</v>
      </c>
      <c r="AA83" s="70">
        <f t="shared" si="43"/>
        <v>0.52631578947368418</v>
      </c>
      <c r="AB83" s="70">
        <f t="shared" si="44"/>
        <v>0.61403508771929827</v>
      </c>
      <c r="AC83" s="70">
        <f t="shared" si="45"/>
        <v>0.10526315789473684</v>
      </c>
      <c r="AD83" s="71">
        <f t="shared" si="46"/>
        <v>0.73684210526315785</v>
      </c>
      <c r="AE83" s="72">
        <f t="shared" si="47"/>
        <v>0.6</v>
      </c>
      <c r="AF83" s="72">
        <f t="shared" ca="1" si="48"/>
        <v>0.7</v>
      </c>
      <c r="AG83" s="73">
        <f t="shared" ca="1" si="49"/>
        <v>0.6333333333333333</v>
      </c>
      <c r="AH83" s="456">
        <f t="shared" si="50"/>
        <v>5.5614035087719289</v>
      </c>
      <c r="AI83" s="467">
        <f t="shared" ca="1" si="51"/>
        <v>35.222222222222214</v>
      </c>
      <c r="AJ83" s="458" t="str">
        <f t="shared" ca="1" si="52"/>
        <v>Q4</v>
      </c>
      <c r="AK83" s="95" t="s">
        <v>360</v>
      </c>
      <c r="AL83" s="111"/>
      <c r="AM83" s="117"/>
      <c r="AN83" s="113"/>
      <c r="AO83" s="113"/>
      <c r="AP83" s="113"/>
      <c r="AQ83" s="121"/>
      <c r="AR83" s="436"/>
      <c r="AS83" s="437"/>
      <c r="AT83" s="437"/>
      <c r="AU83" s="437"/>
      <c r="AV83" s="437"/>
      <c r="AW83" s="94"/>
    </row>
    <row r="84" spans="1:49" ht="36" customHeight="1">
      <c r="A84" s="5">
        <v>107</v>
      </c>
      <c r="B84" s="625">
        <v>167</v>
      </c>
      <c r="C84" s="6" t="s">
        <v>6</v>
      </c>
      <c r="D84" s="371" t="s">
        <v>7</v>
      </c>
      <c r="E84" s="7" t="s">
        <v>1310</v>
      </c>
      <c r="F84" s="9" t="s">
        <v>1372</v>
      </c>
      <c r="G84" s="8"/>
      <c r="H84" s="600">
        <v>750000</v>
      </c>
      <c r="I84" s="49">
        <v>4</v>
      </c>
      <c r="J84" s="55">
        <v>0.4</v>
      </c>
      <c r="K84" s="49"/>
      <c r="L84" s="56"/>
      <c r="M84" s="61">
        <v>6.0000000000000036</v>
      </c>
      <c r="N84" s="62">
        <v>8.0000000000000053</v>
      </c>
      <c r="O84" s="62">
        <v>6.0000000000000036</v>
      </c>
      <c r="P84" s="62">
        <v>6.0000000000000036</v>
      </c>
      <c r="Q84" s="62">
        <v>2</v>
      </c>
      <c r="R84" s="62">
        <v>6.0000000000000036</v>
      </c>
      <c r="S84" s="62">
        <v>6</v>
      </c>
      <c r="T84" s="63">
        <v>6.0000000000000036</v>
      </c>
      <c r="U84" s="66" t="e">
        <f t="shared" ca="1" si="37"/>
        <v>#DIV/0!</v>
      </c>
      <c r="V84" s="66">
        <f t="shared" ca="1" si="38"/>
        <v>0.4</v>
      </c>
      <c r="W84" s="70">
        <f t="shared" si="39"/>
        <v>0.94736842105263208</v>
      </c>
      <c r="X84" s="70">
        <f t="shared" si="40"/>
        <v>0.84210526315789525</v>
      </c>
      <c r="Y84" s="70">
        <f t="shared" si="41"/>
        <v>0.84210526315789525</v>
      </c>
      <c r="Z84" s="70">
        <f t="shared" si="42"/>
        <v>1.052631578947369</v>
      </c>
      <c r="AA84" s="70">
        <f t="shared" si="43"/>
        <v>0.17543859649122806</v>
      </c>
      <c r="AB84" s="70">
        <f t="shared" si="44"/>
        <v>0.73684210526315841</v>
      </c>
      <c r="AC84" s="70">
        <f t="shared" si="45"/>
        <v>0.63157894736842102</v>
      </c>
      <c r="AD84" s="71">
        <f t="shared" si="46"/>
        <v>0.63157894736842146</v>
      </c>
      <c r="AE84" s="72">
        <f t="shared" si="47"/>
        <v>0.6</v>
      </c>
      <c r="AF84" s="72">
        <f t="shared" ca="1" si="48"/>
        <v>0.6</v>
      </c>
      <c r="AG84" s="73">
        <f t="shared" ca="1" si="49"/>
        <v>0.6</v>
      </c>
      <c r="AH84" s="456">
        <f t="shared" si="50"/>
        <v>5.8596491228070207</v>
      </c>
      <c r="AI84" s="467">
        <f t="shared" ca="1" si="51"/>
        <v>35.157894736842124</v>
      </c>
      <c r="AJ84" s="458" t="str">
        <f t="shared" ca="1" si="52"/>
        <v>Q4</v>
      </c>
      <c r="AK84" s="93" t="s">
        <v>360</v>
      </c>
      <c r="AL84" s="110"/>
      <c r="AM84" s="117"/>
      <c r="AN84" s="113"/>
      <c r="AO84" s="113"/>
      <c r="AP84" s="113"/>
      <c r="AQ84" s="121"/>
      <c r="AR84" s="436"/>
      <c r="AS84" s="437"/>
      <c r="AT84" s="437"/>
      <c r="AU84" s="437"/>
      <c r="AV84" s="437"/>
      <c r="AW84" s="94"/>
    </row>
    <row r="85" spans="1:49" s="228" customFormat="1" ht="36" customHeight="1">
      <c r="A85" s="5">
        <v>47</v>
      </c>
      <c r="B85" s="625">
        <v>168</v>
      </c>
      <c r="C85" s="6" t="s">
        <v>6</v>
      </c>
      <c r="D85" s="371" t="s">
        <v>7</v>
      </c>
      <c r="E85" s="7" t="s">
        <v>162</v>
      </c>
      <c r="F85" s="9" t="s">
        <v>1271</v>
      </c>
      <c r="G85" s="8"/>
      <c r="H85" s="600">
        <v>450000</v>
      </c>
      <c r="I85" s="49">
        <v>3</v>
      </c>
      <c r="J85" s="55">
        <v>0.3</v>
      </c>
      <c r="K85" s="49"/>
      <c r="L85" s="56"/>
      <c r="M85" s="61">
        <v>6.0000000000000036</v>
      </c>
      <c r="N85" s="62">
        <v>8</v>
      </c>
      <c r="O85" s="62">
        <v>4</v>
      </c>
      <c r="P85" s="62">
        <v>4.0000000000000027</v>
      </c>
      <c r="Q85" s="62">
        <v>6.0000000000000036</v>
      </c>
      <c r="R85" s="62">
        <v>4.0000000000000027</v>
      </c>
      <c r="S85" s="62">
        <v>3</v>
      </c>
      <c r="T85" s="63">
        <v>6.0000000000000036</v>
      </c>
      <c r="U85" s="66" t="e">
        <f t="shared" ca="1" si="37"/>
        <v>#DIV/0!</v>
      </c>
      <c r="V85" s="66">
        <f t="shared" ca="1" si="38"/>
        <v>0.3</v>
      </c>
      <c r="W85" s="70">
        <f t="shared" si="39"/>
        <v>0.94736842105263208</v>
      </c>
      <c r="X85" s="70">
        <f t="shared" si="40"/>
        <v>0.84210526315789469</v>
      </c>
      <c r="Y85" s="70">
        <f t="shared" si="41"/>
        <v>0.56140350877192979</v>
      </c>
      <c r="Z85" s="70">
        <f t="shared" si="42"/>
        <v>0.7017543859649128</v>
      </c>
      <c r="AA85" s="70">
        <f t="shared" si="43"/>
        <v>0.52631578947368451</v>
      </c>
      <c r="AB85" s="70">
        <f t="shared" si="44"/>
        <v>0.4912280701754389</v>
      </c>
      <c r="AC85" s="70">
        <f t="shared" si="45"/>
        <v>0.31578947368421051</v>
      </c>
      <c r="AD85" s="71">
        <f t="shared" si="46"/>
        <v>0.63157894736842146</v>
      </c>
      <c r="AE85" s="72">
        <f t="shared" si="47"/>
        <v>0.7</v>
      </c>
      <c r="AF85" s="72">
        <f t="shared" ca="1" si="48"/>
        <v>0.7</v>
      </c>
      <c r="AG85" s="73">
        <f t="shared" ca="1" si="49"/>
        <v>0.69999999999999984</v>
      </c>
      <c r="AH85" s="456">
        <f t="shared" si="50"/>
        <v>5.0175438596491242</v>
      </c>
      <c r="AI85" s="467">
        <f t="shared" ca="1" si="51"/>
        <v>35.122807017543863</v>
      </c>
      <c r="AJ85" s="458" t="str">
        <f t="shared" ca="1" si="52"/>
        <v>Q4</v>
      </c>
      <c r="AK85" s="93" t="s">
        <v>360</v>
      </c>
      <c r="AL85" s="570"/>
      <c r="AM85" s="117"/>
      <c r="AN85" s="113"/>
      <c r="AO85" s="113"/>
      <c r="AP85" s="113"/>
      <c r="AQ85" s="121"/>
      <c r="AR85" s="436"/>
      <c r="AS85" s="437"/>
      <c r="AT85" s="437"/>
      <c r="AU85" s="437"/>
      <c r="AV85" s="437"/>
      <c r="AW85" s="94"/>
    </row>
    <row r="86" spans="1:49" ht="36" customHeight="1">
      <c r="A86" s="5"/>
      <c r="B86" s="625">
        <v>169</v>
      </c>
      <c r="C86" s="6" t="s">
        <v>6</v>
      </c>
      <c r="D86" s="371" t="s">
        <v>7</v>
      </c>
      <c r="E86" s="7" t="s">
        <v>103</v>
      </c>
      <c r="F86" s="9" t="s">
        <v>1214</v>
      </c>
      <c r="G86" s="8"/>
      <c r="H86" s="600">
        <v>250000</v>
      </c>
      <c r="I86" s="49">
        <v>3</v>
      </c>
      <c r="J86" s="55">
        <v>0.3</v>
      </c>
      <c r="K86" s="49"/>
      <c r="L86" s="56"/>
      <c r="M86" s="61">
        <v>6.0000000000000036</v>
      </c>
      <c r="N86" s="62">
        <v>8.0000000000000053</v>
      </c>
      <c r="O86" s="62">
        <v>4</v>
      </c>
      <c r="P86" s="62">
        <v>4</v>
      </c>
      <c r="Q86" s="62">
        <v>2</v>
      </c>
      <c r="R86" s="62">
        <v>6.0000000000000036</v>
      </c>
      <c r="S86" s="62">
        <v>4</v>
      </c>
      <c r="T86" s="63">
        <v>6.0000000000000036</v>
      </c>
      <c r="U86" s="66" t="e">
        <f t="shared" ca="1" si="37"/>
        <v>#DIV/0!</v>
      </c>
      <c r="V86" s="66">
        <f t="shared" ca="1" si="38"/>
        <v>0.3</v>
      </c>
      <c r="W86" s="70">
        <f t="shared" si="39"/>
        <v>0.94736842105263208</v>
      </c>
      <c r="X86" s="70">
        <f t="shared" si="40"/>
        <v>0.84210526315789525</v>
      </c>
      <c r="Y86" s="70">
        <f t="shared" si="41"/>
        <v>0.56140350877192979</v>
      </c>
      <c r="Z86" s="70">
        <f t="shared" si="42"/>
        <v>0.70175438596491224</v>
      </c>
      <c r="AA86" s="70">
        <f t="shared" si="43"/>
        <v>0.17543859649122806</v>
      </c>
      <c r="AB86" s="70">
        <f t="shared" si="44"/>
        <v>0.73684210526315841</v>
      </c>
      <c r="AC86" s="70">
        <f t="shared" si="45"/>
        <v>0.42105263157894735</v>
      </c>
      <c r="AD86" s="71">
        <f t="shared" si="46"/>
        <v>0.63157894736842146</v>
      </c>
      <c r="AE86" s="72">
        <f t="shared" si="47"/>
        <v>0.7</v>
      </c>
      <c r="AF86" s="72">
        <f t="shared" ca="1" si="48"/>
        <v>0.7</v>
      </c>
      <c r="AG86" s="73">
        <f t="shared" ca="1" si="49"/>
        <v>0.69999999999999984</v>
      </c>
      <c r="AH86" s="456">
        <f t="shared" si="50"/>
        <v>5.0175438596491251</v>
      </c>
      <c r="AI86" s="467">
        <f t="shared" ca="1" si="51"/>
        <v>35.122807017543863</v>
      </c>
      <c r="AJ86" s="458" t="str">
        <f t="shared" ca="1" si="52"/>
        <v>Q4</v>
      </c>
      <c r="AK86" s="93" t="s">
        <v>360</v>
      </c>
      <c r="AL86" s="571"/>
      <c r="AM86" s="117"/>
      <c r="AN86" s="113"/>
      <c r="AO86" s="113"/>
      <c r="AP86" s="113"/>
      <c r="AQ86" s="121"/>
      <c r="AR86" s="436"/>
      <c r="AS86" s="437"/>
      <c r="AT86" s="437"/>
      <c r="AU86" s="437"/>
      <c r="AV86" s="437"/>
      <c r="AW86" s="94"/>
    </row>
    <row r="87" spans="1:49" ht="36" customHeight="1">
      <c r="A87" s="1"/>
      <c r="B87" s="625">
        <v>170</v>
      </c>
      <c r="C87" s="6" t="s">
        <v>6</v>
      </c>
      <c r="D87" s="371" t="s">
        <v>7</v>
      </c>
      <c r="E87" s="18" t="s">
        <v>428</v>
      </c>
      <c r="F87" s="19" t="s">
        <v>1377</v>
      </c>
      <c r="G87" s="375"/>
      <c r="H87" s="603">
        <v>150000</v>
      </c>
      <c r="I87" s="50">
        <v>3</v>
      </c>
      <c r="J87" s="55">
        <v>0.3</v>
      </c>
      <c r="K87" s="49"/>
      <c r="L87" s="56"/>
      <c r="M87" s="61">
        <v>3</v>
      </c>
      <c r="N87" s="62">
        <v>5</v>
      </c>
      <c r="O87" s="62">
        <v>10</v>
      </c>
      <c r="P87" s="62">
        <v>2</v>
      </c>
      <c r="Q87" s="62">
        <v>0</v>
      </c>
      <c r="R87" s="62">
        <v>3</v>
      </c>
      <c r="S87" s="62">
        <v>8</v>
      </c>
      <c r="T87" s="63">
        <v>10</v>
      </c>
      <c r="U87" s="66" t="e">
        <f t="shared" ca="1" si="37"/>
        <v>#DIV/0!</v>
      </c>
      <c r="V87" s="66">
        <f t="shared" ca="1" si="38"/>
        <v>0.3</v>
      </c>
      <c r="W87" s="70">
        <f t="shared" si="39"/>
        <v>0.47368421052631576</v>
      </c>
      <c r="X87" s="70">
        <f t="shared" si="40"/>
        <v>0.52631578947368418</v>
      </c>
      <c r="Y87" s="70">
        <f t="shared" si="41"/>
        <v>1.4035087719298245</v>
      </c>
      <c r="Z87" s="70">
        <f t="shared" si="42"/>
        <v>0.35087719298245612</v>
      </c>
      <c r="AA87" s="70">
        <f t="shared" si="43"/>
        <v>0</v>
      </c>
      <c r="AB87" s="70">
        <f t="shared" si="44"/>
        <v>0.36842105263157893</v>
      </c>
      <c r="AC87" s="70">
        <f t="shared" si="45"/>
        <v>0.84210526315789469</v>
      </c>
      <c r="AD87" s="71">
        <f t="shared" si="46"/>
        <v>1.0526315789473684</v>
      </c>
      <c r="AE87" s="72">
        <f t="shared" si="47"/>
        <v>0.7</v>
      </c>
      <c r="AF87" s="72">
        <f t="shared" ca="1" si="48"/>
        <v>0.7</v>
      </c>
      <c r="AG87" s="73">
        <f t="shared" ca="1" si="49"/>
        <v>0.69999999999999984</v>
      </c>
      <c r="AH87" s="456">
        <f t="shared" si="50"/>
        <v>5.0175438596491224</v>
      </c>
      <c r="AI87" s="467">
        <f t="shared" ca="1" si="51"/>
        <v>35.122807017543849</v>
      </c>
      <c r="AJ87" s="458" t="str">
        <f t="shared" ca="1" si="52"/>
        <v>Q4</v>
      </c>
      <c r="AK87" s="91" t="s">
        <v>360</v>
      </c>
      <c r="AL87" s="571"/>
      <c r="AM87" s="117"/>
      <c r="AN87" s="113"/>
      <c r="AO87" s="113"/>
      <c r="AP87" s="113"/>
      <c r="AQ87" s="121"/>
      <c r="AR87" s="436"/>
      <c r="AS87" s="437"/>
      <c r="AT87" s="437"/>
      <c r="AU87" s="437"/>
      <c r="AV87" s="437"/>
      <c r="AW87" s="92"/>
    </row>
    <row r="88" spans="1:49" ht="36" customHeight="1">
      <c r="A88" s="1"/>
      <c r="B88" s="625">
        <v>172</v>
      </c>
      <c r="C88" s="6" t="s">
        <v>18</v>
      </c>
      <c r="D88" s="371" t="s">
        <v>416</v>
      </c>
      <c r="E88" s="12" t="s">
        <v>453</v>
      </c>
      <c r="F88" s="22" t="s">
        <v>1280</v>
      </c>
      <c r="G88" s="583" t="s">
        <v>77</v>
      </c>
      <c r="H88" s="600">
        <v>220000</v>
      </c>
      <c r="I88" s="49">
        <v>3</v>
      </c>
      <c r="J88" s="55">
        <v>0.1</v>
      </c>
      <c r="K88" s="49"/>
      <c r="L88" s="56"/>
      <c r="M88" s="61">
        <v>4.0000000000000027</v>
      </c>
      <c r="N88" s="62">
        <v>8.0000000000000053</v>
      </c>
      <c r="O88" s="62">
        <v>2</v>
      </c>
      <c r="P88" s="62">
        <v>4</v>
      </c>
      <c r="Q88" s="62">
        <v>1</v>
      </c>
      <c r="R88" s="62">
        <v>8</v>
      </c>
      <c r="S88" s="62">
        <v>0</v>
      </c>
      <c r="T88" s="63">
        <v>10</v>
      </c>
      <c r="U88" s="66" t="e">
        <f t="shared" ca="1" si="37"/>
        <v>#DIV/0!</v>
      </c>
      <c r="V88" s="66">
        <f t="shared" ca="1" si="38"/>
        <v>0.1</v>
      </c>
      <c r="W88" s="70">
        <f t="shared" si="39"/>
        <v>0.63157894736842146</v>
      </c>
      <c r="X88" s="70">
        <f t="shared" si="40"/>
        <v>0.84210526315789525</v>
      </c>
      <c r="Y88" s="70">
        <f t="shared" si="41"/>
        <v>0.2807017543859649</v>
      </c>
      <c r="Z88" s="70">
        <f t="shared" si="42"/>
        <v>0.70175438596491224</v>
      </c>
      <c r="AA88" s="70">
        <f t="shared" si="43"/>
        <v>8.771929824561403E-2</v>
      </c>
      <c r="AB88" s="70">
        <f t="shared" si="44"/>
        <v>0.98245614035087714</v>
      </c>
      <c r="AC88" s="70">
        <f t="shared" si="45"/>
        <v>0</v>
      </c>
      <c r="AD88" s="71">
        <f t="shared" si="46"/>
        <v>1.0526315789473684</v>
      </c>
      <c r="AE88" s="72">
        <f t="shared" si="47"/>
        <v>0.7</v>
      </c>
      <c r="AF88" s="72">
        <f t="shared" ca="1" si="48"/>
        <v>0.9</v>
      </c>
      <c r="AG88" s="73">
        <f t="shared" ca="1" si="49"/>
        <v>0.76666666666666661</v>
      </c>
      <c r="AH88" s="456">
        <f t="shared" si="50"/>
        <v>4.5789473684210531</v>
      </c>
      <c r="AI88" s="467">
        <f t="shared" ca="1" si="51"/>
        <v>35.10526315789474</v>
      </c>
      <c r="AJ88" s="458" t="str">
        <f t="shared" ca="1" si="52"/>
        <v>Q2</v>
      </c>
      <c r="AK88" s="93" t="s">
        <v>360</v>
      </c>
      <c r="AL88" s="110"/>
      <c r="AM88" s="117"/>
      <c r="AN88" s="113"/>
      <c r="AO88" s="113"/>
      <c r="AP88" s="113"/>
      <c r="AQ88" s="121"/>
      <c r="AR88" s="436"/>
      <c r="AS88" s="437"/>
      <c r="AT88" s="437"/>
      <c r="AU88" s="437"/>
      <c r="AV88" s="437"/>
      <c r="AW88" s="92"/>
    </row>
    <row r="89" spans="1:49" ht="36" customHeight="1">
      <c r="A89" s="1">
        <v>179</v>
      </c>
      <c r="B89" s="625">
        <v>173</v>
      </c>
      <c r="C89" s="6" t="s">
        <v>18</v>
      </c>
      <c r="D89" s="371" t="s">
        <v>416</v>
      </c>
      <c r="E89" s="12" t="s">
        <v>454</v>
      </c>
      <c r="F89" s="22" t="s">
        <v>1281</v>
      </c>
      <c r="G89" s="583" t="s">
        <v>77</v>
      </c>
      <c r="H89" s="600">
        <v>220000</v>
      </c>
      <c r="I89" s="49">
        <v>3</v>
      </c>
      <c r="J89" s="55">
        <v>0.1</v>
      </c>
      <c r="K89" s="49"/>
      <c r="L89" s="56"/>
      <c r="M89" s="61">
        <v>4</v>
      </c>
      <c r="N89" s="62">
        <v>8</v>
      </c>
      <c r="O89" s="62">
        <v>2</v>
      </c>
      <c r="P89" s="62">
        <v>4</v>
      </c>
      <c r="Q89" s="62">
        <v>1</v>
      </c>
      <c r="R89" s="62">
        <v>8</v>
      </c>
      <c r="S89" s="62">
        <v>0</v>
      </c>
      <c r="T89" s="63">
        <v>10</v>
      </c>
      <c r="U89" s="66" t="e">
        <f t="shared" ca="1" si="37"/>
        <v>#DIV/0!</v>
      </c>
      <c r="V89" s="66">
        <f t="shared" ca="1" si="38"/>
        <v>0.1</v>
      </c>
      <c r="W89" s="70">
        <f t="shared" si="39"/>
        <v>0.63157894736842102</v>
      </c>
      <c r="X89" s="70">
        <f t="shared" si="40"/>
        <v>0.84210526315789469</v>
      </c>
      <c r="Y89" s="70">
        <f t="shared" si="41"/>
        <v>0.2807017543859649</v>
      </c>
      <c r="Z89" s="70">
        <f t="shared" si="42"/>
        <v>0.70175438596491224</v>
      </c>
      <c r="AA89" s="70">
        <f t="shared" si="43"/>
        <v>8.771929824561403E-2</v>
      </c>
      <c r="AB89" s="70">
        <f t="shared" si="44"/>
        <v>0.98245614035087714</v>
      </c>
      <c r="AC89" s="70">
        <f t="shared" si="45"/>
        <v>0</v>
      </c>
      <c r="AD89" s="71">
        <f t="shared" si="46"/>
        <v>1.0526315789473684</v>
      </c>
      <c r="AE89" s="72">
        <f t="shared" si="47"/>
        <v>0.7</v>
      </c>
      <c r="AF89" s="72">
        <f t="shared" ca="1" si="48"/>
        <v>0.9</v>
      </c>
      <c r="AG89" s="73">
        <f t="shared" ca="1" si="49"/>
        <v>0.76666666666666661</v>
      </c>
      <c r="AH89" s="456">
        <f t="shared" si="50"/>
        <v>4.5789473684210522</v>
      </c>
      <c r="AI89" s="467">
        <f t="shared" ca="1" si="51"/>
        <v>35.105263157894733</v>
      </c>
      <c r="AJ89" s="458" t="str">
        <f t="shared" ca="1" si="52"/>
        <v>Q2</v>
      </c>
      <c r="AK89" s="93" t="s">
        <v>360</v>
      </c>
      <c r="AL89" s="570"/>
      <c r="AM89" s="117"/>
      <c r="AN89" s="113"/>
      <c r="AO89" s="113"/>
      <c r="AP89" s="113"/>
      <c r="AQ89" s="121"/>
      <c r="AR89" s="436"/>
      <c r="AS89" s="437"/>
      <c r="AT89" s="437"/>
      <c r="AU89" s="437"/>
      <c r="AV89" s="437"/>
      <c r="AW89" s="92"/>
    </row>
    <row r="90" spans="1:49" ht="36" customHeight="1">
      <c r="A90" s="1">
        <v>130</v>
      </c>
      <c r="B90" s="625">
        <v>176</v>
      </c>
      <c r="C90" s="6" t="s">
        <v>18</v>
      </c>
      <c r="D90" s="371" t="s">
        <v>7</v>
      </c>
      <c r="E90" s="18" t="s">
        <v>181</v>
      </c>
      <c r="F90" s="20" t="s">
        <v>1357</v>
      </c>
      <c r="G90" s="375" t="s">
        <v>1358</v>
      </c>
      <c r="H90" s="603">
        <v>209000</v>
      </c>
      <c r="I90" s="50">
        <v>3</v>
      </c>
      <c r="J90" s="55">
        <v>0.3</v>
      </c>
      <c r="K90" s="49"/>
      <c r="L90" s="56"/>
      <c r="M90" s="61">
        <v>4.0000000000000027</v>
      </c>
      <c r="N90" s="62">
        <v>8.0000000000000053</v>
      </c>
      <c r="O90" s="62">
        <v>4</v>
      </c>
      <c r="P90" s="62">
        <v>6.0000000000000036</v>
      </c>
      <c r="Q90" s="62">
        <v>1</v>
      </c>
      <c r="R90" s="62">
        <v>8.0000000000000053</v>
      </c>
      <c r="S90" s="62">
        <v>0</v>
      </c>
      <c r="T90" s="63">
        <v>8.0000000000000053</v>
      </c>
      <c r="U90" s="66" t="e">
        <f t="shared" ca="1" si="37"/>
        <v>#DIV/0!</v>
      </c>
      <c r="V90" s="66">
        <f t="shared" ca="1" si="38"/>
        <v>0.3</v>
      </c>
      <c r="W90" s="70">
        <f t="shared" si="39"/>
        <v>0.63157894736842146</v>
      </c>
      <c r="X90" s="70">
        <f t="shared" si="40"/>
        <v>0.84210526315789525</v>
      </c>
      <c r="Y90" s="70">
        <f t="shared" si="41"/>
        <v>0.56140350877192979</v>
      </c>
      <c r="Z90" s="70">
        <f t="shared" si="42"/>
        <v>1.052631578947369</v>
      </c>
      <c r="AA90" s="70">
        <f t="shared" si="43"/>
        <v>8.771929824561403E-2</v>
      </c>
      <c r="AB90" s="70">
        <f t="shared" si="44"/>
        <v>0.9824561403508778</v>
      </c>
      <c r="AC90" s="70">
        <f t="shared" si="45"/>
        <v>0</v>
      </c>
      <c r="AD90" s="71">
        <f t="shared" si="46"/>
        <v>0.84210526315789525</v>
      </c>
      <c r="AE90" s="72">
        <f t="shared" si="47"/>
        <v>0.7</v>
      </c>
      <c r="AF90" s="72">
        <f t="shared" ca="1" si="48"/>
        <v>0.7</v>
      </c>
      <c r="AG90" s="73">
        <f t="shared" ca="1" si="49"/>
        <v>0.69999999999999984</v>
      </c>
      <c r="AH90" s="456">
        <f t="shared" si="50"/>
        <v>5.0000000000000027</v>
      </c>
      <c r="AI90" s="467">
        <f t="shared" ca="1" si="51"/>
        <v>35.000000000000007</v>
      </c>
      <c r="AJ90" s="458" t="str">
        <f t="shared" ca="1" si="52"/>
        <v>Q4</v>
      </c>
      <c r="AK90" s="95" t="s">
        <v>360</v>
      </c>
      <c r="AL90" s="572"/>
      <c r="AM90" s="117"/>
      <c r="AN90" s="113"/>
      <c r="AO90" s="113"/>
      <c r="AP90" s="113"/>
      <c r="AQ90" s="121"/>
      <c r="AR90" s="436"/>
      <c r="AS90" s="437"/>
      <c r="AT90" s="437"/>
      <c r="AU90" s="437"/>
      <c r="AV90" s="437"/>
      <c r="AW90" s="92"/>
    </row>
    <row r="91" spans="1:49" ht="36" customHeight="1">
      <c r="A91" s="1">
        <v>81</v>
      </c>
      <c r="B91" s="625">
        <v>177</v>
      </c>
      <c r="C91" s="2" t="s">
        <v>6</v>
      </c>
      <c r="D91" s="370" t="s">
        <v>7</v>
      </c>
      <c r="E91" s="3" t="s">
        <v>351</v>
      </c>
      <c r="F91" s="9" t="s">
        <v>424</v>
      </c>
      <c r="G91" s="4"/>
      <c r="H91" s="599">
        <v>200000</v>
      </c>
      <c r="I91" s="376">
        <v>4</v>
      </c>
      <c r="J91" s="377">
        <v>0.3</v>
      </c>
      <c r="K91" s="376"/>
      <c r="L91" s="378"/>
      <c r="M91" s="61">
        <v>6.0000000000000036</v>
      </c>
      <c r="N91" s="62">
        <v>8.0000000000000053</v>
      </c>
      <c r="O91" s="62">
        <v>4.0000000000000027</v>
      </c>
      <c r="P91" s="62">
        <v>4.0000000000000027</v>
      </c>
      <c r="Q91" s="62">
        <v>4.0000000000000027</v>
      </c>
      <c r="R91" s="62">
        <v>6.0000000000000036</v>
      </c>
      <c r="S91" s="62">
        <v>5</v>
      </c>
      <c r="T91" s="63">
        <v>8</v>
      </c>
      <c r="U91" s="379" t="e">
        <f t="shared" ca="1" si="37"/>
        <v>#DIV/0!</v>
      </c>
      <c r="V91" s="379">
        <f t="shared" ca="1" si="38"/>
        <v>0.3</v>
      </c>
      <c r="W91" s="70">
        <f t="shared" si="39"/>
        <v>0.94736842105263208</v>
      </c>
      <c r="X91" s="70">
        <f t="shared" si="40"/>
        <v>0.84210526315789525</v>
      </c>
      <c r="Y91" s="70">
        <f t="shared" si="41"/>
        <v>0.56140350877193024</v>
      </c>
      <c r="Z91" s="70">
        <f t="shared" si="42"/>
        <v>0.7017543859649128</v>
      </c>
      <c r="AA91" s="70">
        <f t="shared" si="43"/>
        <v>0.3508771929824564</v>
      </c>
      <c r="AB91" s="70">
        <f t="shared" si="44"/>
        <v>0.73684210526315841</v>
      </c>
      <c r="AC91" s="70">
        <f t="shared" si="45"/>
        <v>0.52631578947368418</v>
      </c>
      <c r="AD91" s="71">
        <f t="shared" si="46"/>
        <v>0.84210526315789469</v>
      </c>
      <c r="AE91" s="72">
        <f t="shared" si="47"/>
        <v>0.6</v>
      </c>
      <c r="AF91" s="72">
        <f t="shared" ca="1" si="48"/>
        <v>0.7</v>
      </c>
      <c r="AG91" s="73">
        <f t="shared" ca="1" si="49"/>
        <v>0.6333333333333333</v>
      </c>
      <c r="AH91" s="455">
        <f t="shared" si="50"/>
        <v>5.5087719298245634</v>
      </c>
      <c r="AI91" s="466">
        <f t="shared" ca="1" si="51"/>
        <v>34.8888888888889</v>
      </c>
      <c r="AJ91" s="458" t="str">
        <f t="shared" ca="1" si="52"/>
        <v>Q4</v>
      </c>
      <c r="AK91" s="91" t="s">
        <v>360</v>
      </c>
      <c r="AL91" s="111"/>
      <c r="AM91" s="117"/>
      <c r="AN91" s="113"/>
      <c r="AO91" s="113"/>
      <c r="AP91" s="113"/>
      <c r="AQ91" s="121"/>
      <c r="AR91" s="436"/>
      <c r="AS91" s="437"/>
      <c r="AT91" s="437"/>
      <c r="AU91" s="437"/>
      <c r="AV91" s="437"/>
      <c r="AW91" s="92"/>
    </row>
    <row r="92" spans="1:49" ht="36" customHeight="1">
      <c r="A92" s="5">
        <v>298</v>
      </c>
      <c r="B92" s="625">
        <v>178</v>
      </c>
      <c r="C92" s="6" t="s">
        <v>6</v>
      </c>
      <c r="D92" s="371" t="s">
        <v>7</v>
      </c>
      <c r="E92" s="7" t="s">
        <v>431</v>
      </c>
      <c r="F92" s="19" t="s">
        <v>1397</v>
      </c>
      <c r="G92" s="20"/>
      <c r="H92" s="600">
        <v>525000</v>
      </c>
      <c r="I92" s="50">
        <v>4</v>
      </c>
      <c r="J92" s="55">
        <v>0.3</v>
      </c>
      <c r="K92" s="49"/>
      <c r="L92" s="56"/>
      <c r="M92" s="61">
        <v>6</v>
      </c>
      <c r="N92" s="62">
        <v>8</v>
      </c>
      <c r="O92" s="62">
        <v>4</v>
      </c>
      <c r="P92" s="62">
        <v>4</v>
      </c>
      <c r="Q92" s="62">
        <v>4</v>
      </c>
      <c r="R92" s="62">
        <v>6</v>
      </c>
      <c r="S92" s="62">
        <v>7</v>
      </c>
      <c r="T92" s="63">
        <v>6</v>
      </c>
      <c r="U92" s="66" t="e">
        <f t="shared" ca="1" si="37"/>
        <v>#DIV/0!</v>
      </c>
      <c r="V92" s="66">
        <f t="shared" ca="1" si="38"/>
        <v>0.3</v>
      </c>
      <c r="W92" s="70">
        <f t="shared" si="39"/>
        <v>0.94736842105263153</v>
      </c>
      <c r="X92" s="70">
        <f t="shared" si="40"/>
        <v>0.84210526315789469</v>
      </c>
      <c r="Y92" s="70">
        <f t="shared" si="41"/>
        <v>0.56140350877192979</v>
      </c>
      <c r="Z92" s="70">
        <f t="shared" si="42"/>
        <v>0.70175438596491224</v>
      </c>
      <c r="AA92" s="70">
        <f t="shared" si="43"/>
        <v>0.35087719298245612</v>
      </c>
      <c r="AB92" s="70">
        <f t="shared" si="44"/>
        <v>0.73684210526315785</v>
      </c>
      <c r="AC92" s="70">
        <f t="shared" si="45"/>
        <v>0.73684210526315785</v>
      </c>
      <c r="AD92" s="71">
        <f t="shared" si="46"/>
        <v>0.63157894736842102</v>
      </c>
      <c r="AE92" s="72">
        <f t="shared" si="47"/>
        <v>0.6</v>
      </c>
      <c r="AF92" s="72">
        <f t="shared" ca="1" si="48"/>
        <v>0.7</v>
      </c>
      <c r="AG92" s="73">
        <f t="shared" ca="1" si="49"/>
        <v>0.6333333333333333</v>
      </c>
      <c r="AH92" s="456">
        <f t="shared" si="50"/>
        <v>5.5087719298245608</v>
      </c>
      <c r="AI92" s="467">
        <f t="shared" ca="1" si="51"/>
        <v>34.888888888888886</v>
      </c>
      <c r="AJ92" s="458" t="str">
        <f t="shared" ca="1" si="52"/>
        <v>Q4</v>
      </c>
      <c r="AK92" s="93" t="s">
        <v>360</v>
      </c>
      <c r="AL92" s="110"/>
      <c r="AM92" s="117"/>
      <c r="AN92" s="113"/>
      <c r="AO92" s="113"/>
      <c r="AP92" s="113"/>
      <c r="AQ92" s="121"/>
      <c r="AR92" s="436"/>
      <c r="AS92" s="437"/>
      <c r="AT92" s="437"/>
      <c r="AU92" s="437"/>
      <c r="AV92" s="437"/>
      <c r="AW92" s="94"/>
    </row>
    <row r="93" spans="1:49" ht="36" customHeight="1">
      <c r="A93" s="5">
        <v>146</v>
      </c>
      <c r="B93" s="625">
        <v>179</v>
      </c>
      <c r="C93" s="6" t="s">
        <v>8</v>
      </c>
      <c r="D93" s="371" t="s">
        <v>7</v>
      </c>
      <c r="E93" s="18" t="s">
        <v>1547</v>
      </c>
      <c r="F93" s="20" t="s">
        <v>439</v>
      </c>
      <c r="G93" s="20" t="s">
        <v>168</v>
      </c>
      <c r="H93" s="603">
        <v>324000</v>
      </c>
      <c r="I93" s="50">
        <v>3</v>
      </c>
      <c r="J93" s="55">
        <v>0.3</v>
      </c>
      <c r="K93" s="49"/>
      <c r="L93" s="56"/>
      <c r="M93" s="61">
        <v>6.0000000000000036</v>
      </c>
      <c r="N93" s="62">
        <v>6.0000000000000036</v>
      </c>
      <c r="O93" s="62">
        <v>4.0000000000000027</v>
      </c>
      <c r="P93" s="62">
        <v>8.0000000000000053</v>
      </c>
      <c r="Q93" s="62">
        <v>6.0000000000000036</v>
      </c>
      <c r="R93" s="62">
        <v>4.0000000000000027</v>
      </c>
      <c r="S93" s="62">
        <v>0</v>
      </c>
      <c r="T93" s="63">
        <v>4.0000000000000027</v>
      </c>
      <c r="U93" s="66" t="e">
        <f t="shared" ca="1" si="37"/>
        <v>#DIV/0!</v>
      </c>
      <c r="V93" s="66">
        <f t="shared" ca="1" si="38"/>
        <v>0.3</v>
      </c>
      <c r="W93" s="70">
        <f t="shared" si="39"/>
        <v>0.94736842105263208</v>
      </c>
      <c r="X93" s="70">
        <f t="shared" si="40"/>
        <v>0.63157894736842146</v>
      </c>
      <c r="Y93" s="70">
        <f t="shared" si="41"/>
        <v>0.56140350877193024</v>
      </c>
      <c r="Z93" s="70">
        <f t="shared" si="42"/>
        <v>1.4035087719298256</v>
      </c>
      <c r="AA93" s="70">
        <f t="shared" si="43"/>
        <v>0.52631578947368451</v>
      </c>
      <c r="AB93" s="70">
        <f t="shared" si="44"/>
        <v>0.4912280701754389</v>
      </c>
      <c r="AC93" s="70">
        <f t="shared" si="45"/>
        <v>0</v>
      </c>
      <c r="AD93" s="71">
        <f t="shared" si="46"/>
        <v>0.42105263157894762</v>
      </c>
      <c r="AE93" s="72">
        <f t="shared" si="47"/>
        <v>0.7</v>
      </c>
      <c r="AF93" s="72">
        <f t="shared" ca="1" si="48"/>
        <v>0.7</v>
      </c>
      <c r="AG93" s="73">
        <f t="shared" ca="1" si="49"/>
        <v>0.69999999999999984</v>
      </c>
      <c r="AH93" s="456">
        <f t="shared" si="50"/>
        <v>4.9824561403508802</v>
      </c>
      <c r="AI93" s="467">
        <f t="shared" ca="1" si="51"/>
        <v>34.877192982456158</v>
      </c>
      <c r="AJ93" s="458" t="str">
        <f t="shared" ca="1" si="52"/>
        <v>Q4</v>
      </c>
      <c r="AK93" s="95" t="s">
        <v>360</v>
      </c>
      <c r="AL93" s="111"/>
      <c r="AM93" s="117"/>
      <c r="AN93" s="113"/>
      <c r="AO93" s="113"/>
      <c r="AP93" s="113"/>
      <c r="AQ93" s="121"/>
      <c r="AR93" s="436"/>
      <c r="AS93" s="437"/>
      <c r="AT93" s="437"/>
      <c r="AU93" s="437"/>
      <c r="AV93" s="437"/>
      <c r="AW93" s="94"/>
    </row>
    <row r="94" spans="1:49" ht="36" customHeight="1">
      <c r="A94" s="5">
        <v>113</v>
      </c>
      <c r="B94" s="625">
        <v>180</v>
      </c>
      <c r="C94" s="6" t="s">
        <v>6</v>
      </c>
      <c r="D94" s="371" t="s">
        <v>7</v>
      </c>
      <c r="E94" s="7" t="s">
        <v>182</v>
      </c>
      <c r="F94" s="9" t="s">
        <v>1215</v>
      </c>
      <c r="G94" s="8"/>
      <c r="H94" s="600">
        <v>250000</v>
      </c>
      <c r="I94" s="49">
        <v>3</v>
      </c>
      <c r="J94" s="55">
        <v>0.3</v>
      </c>
      <c r="K94" s="49"/>
      <c r="L94" s="56"/>
      <c r="M94" s="61">
        <v>5</v>
      </c>
      <c r="N94" s="62">
        <v>6.0000000000000036</v>
      </c>
      <c r="O94" s="62">
        <v>6.0000000000000036</v>
      </c>
      <c r="P94" s="62">
        <v>6.0000000000000036</v>
      </c>
      <c r="Q94" s="62">
        <v>0</v>
      </c>
      <c r="R94" s="62">
        <v>5</v>
      </c>
      <c r="S94" s="62">
        <v>4</v>
      </c>
      <c r="T94" s="63">
        <v>6.0000000000000036</v>
      </c>
      <c r="U94" s="66" t="e">
        <f t="shared" ca="1" si="37"/>
        <v>#DIV/0!</v>
      </c>
      <c r="V94" s="66">
        <f t="shared" ca="1" si="38"/>
        <v>0.3</v>
      </c>
      <c r="W94" s="70">
        <f t="shared" si="39"/>
        <v>0.78947368421052633</v>
      </c>
      <c r="X94" s="70">
        <f t="shared" si="40"/>
        <v>0.63157894736842146</v>
      </c>
      <c r="Y94" s="70">
        <f t="shared" si="41"/>
        <v>0.84210526315789525</v>
      </c>
      <c r="Z94" s="70">
        <f t="shared" si="42"/>
        <v>1.052631578947369</v>
      </c>
      <c r="AA94" s="70">
        <f t="shared" si="43"/>
        <v>0</v>
      </c>
      <c r="AB94" s="70">
        <f t="shared" si="44"/>
        <v>0.61403508771929827</v>
      </c>
      <c r="AC94" s="70">
        <f t="shared" si="45"/>
        <v>0.42105263157894735</v>
      </c>
      <c r="AD94" s="71">
        <f t="shared" si="46"/>
        <v>0.63157894736842146</v>
      </c>
      <c r="AE94" s="72">
        <f t="shared" si="47"/>
        <v>0.7</v>
      </c>
      <c r="AF94" s="72">
        <f t="shared" ca="1" si="48"/>
        <v>0.7</v>
      </c>
      <c r="AG94" s="73">
        <f t="shared" ca="1" si="49"/>
        <v>0.69999999999999984</v>
      </c>
      <c r="AH94" s="456">
        <f t="shared" si="50"/>
        <v>4.9824561403508785</v>
      </c>
      <c r="AI94" s="467">
        <f t="shared" ca="1" si="51"/>
        <v>34.877192982456144</v>
      </c>
      <c r="AJ94" s="458" t="str">
        <f t="shared" ca="1" si="52"/>
        <v>Q4</v>
      </c>
      <c r="AK94" s="93" t="s">
        <v>360</v>
      </c>
      <c r="AL94" s="110"/>
      <c r="AM94" s="117"/>
      <c r="AN94" s="113"/>
      <c r="AO94" s="113"/>
      <c r="AP94" s="113"/>
      <c r="AQ94" s="121"/>
      <c r="AR94" s="436"/>
      <c r="AS94" s="437"/>
      <c r="AT94" s="437"/>
      <c r="AU94" s="437"/>
      <c r="AV94" s="437"/>
      <c r="AW94" s="94"/>
    </row>
    <row r="95" spans="1:49" s="228" customFormat="1" ht="36" customHeight="1">
      <c r="A95" s="5">
        <v>279</v>
      </c>
      <c r="B95" s="625">
        <v>181</v>
      </c>
      <c r="C95" s="6" t="s">
        <v>6</v>
      </c>
      <c r="D95" s="371" t="s">
        <v>7</v>
      </c>
      <c r="E95" s="7" t="s">
        <v>124</v>
      </c>
      <c r="F95" s="19" t="s">
        <v>257</v>
      </c>
      <c r="G95" s="20"/>
      <c r="H95" s="603">
        <v>300000</v>
      </c>
      <c r="I95" s="49">
        <v>3</v>
      </c>
      <c r="J95" s="55">
        <v>0.3</v>
      </c>
      <c r="K95" s="49"/>
      <c r="L95" s="56"/>
      <c r="M95" s="61">
        <v>4.0000000000000027</v>
      </c>
      <c r="N95" s="62">
        <v>6.0000000000000036</v>
      </c>
      <c r="O95" s="62">
        <v>4.0000000000000027</v>
      </c>
      <c r="P95" s="62">
        <v>4.0000000000000027</v>
      </c>
      <c r="Q95" s="62">
        <v>4.0000000000000027</v>
      </c>
      <c r="R95" s="62">
        <v>6.0000000000000036</v>
      </c>
      <c r="S95" s="62">
        <v>7</v>
      </c>
      <c r="T95" s="63">
        <v>6.0000000000000036</v>
      </c>
      <c r="U95" s="66" t="e">
        <f t="shared" ca="1" si="37"/>
        <v>#DIV/0!</v>
      </c>
      <c r="V95" s="66">
        <f t="shared" ca="1" si="38"/>
        <v>0.3</v>
      </c>
      <c r="W95" s="70">
        <f t="shared" si="39"/>
        <v>0.63157894736842146</v>
      </c>
      <c r="X95" s="70">
        <f t="shared" si="40"/>
        <v>0.63157894736842146</v>
      </c>
      <c r="Y95" s="70">
        <f t="shared" si="41"/>
        <v>0.56140350877193024</v>
      </c>
      <c r="Z95" s="70">
        <f t="shared" si="42"/>
        <v>0.7017543859649128</v>
      </c>
      <c r="AA95" s="70">
        <f t="shared" si="43"/>
        <v>0.3508771929824564</v>
      </c>
      <c r="AB95" s="70">
        <f t="shared" si="44"/>
        <v>0.73684210526315841</v>
      </c>
      <c r="AC95" s="70">
        <f t="shared" si="45"/>
        <v>0.73684210526315785</v>
      </c>
      <c r="AD95" s="71">
        <f t="shared" si="46"/>
        <v>0.63157894736842146</v>
      </c>
      <c r="AE95" s="72">
        <f t="shared" si="47"/>
        <v>0.7</v>
      </c>
      <c r="AF95" s="72">
        <f t="shared" ca="1" si="48"/>
        <v>0.7</v>
      </c>
      <c r="AG95" s="73">
        <f t="shared" ca="1" si="49"/>
        <v>0.69999999999999984</v>
      </c>
      <c r="AH95" s="456">
        <f t="shared" si="50"/>
        <v>4.9824561403508794</v>
      </c>
      <c r="AI95" s="467">
        <f t="shared" ca="1" si="51"/>
        <v>34.877192982456144</v>
      </c>
      <c r="AJ95" s="458" t="str">
        <f t="shared" ca="1" si="52"/>
        <v>Q4</v>
      </c>
      <c r="AK95" s="93" t="s">
        <v>360</v>
      </c>
      <c r="AL95" s="110"/>
      <c r="AM95" s="117"/>
      <c r="AN95" s="113"/>
      <c r="AO95" s="113"/>
      <c r="AP95" s="113"/>
      <c r="AQ95" s="121"/>
      <c r="AR95" s="438"/>
      <c r="AS95" s="437"/>
      <c r="AT95" s="437"/>
      <c r="AU95" s="437"/>
      <c r="AV95" s="437"/>
      <c r="AW95" s="94"/>
    </row>
    <row r="96" spans="1:49" ht="36" customHeight="1">
      <c r="A96" s="5">
        <v>72</v>
      </c>
      <c r="B96" s="625">
        <v>182</v>
      </c>
      <c r="C96" s="6" t="s">
        <v>6</v>
      </c>
      <c r="D96" s="371" t="s">
        <v>7</v>
      </c>
      <c r="E96" s="7" t="s">
        <v>62</v>
      </c>
      <c r="F96" s="8" t="s">
        <v>1094</v>
      </c>
      <c r="G96" s="127"/>
      <c r="H96" s="603">
        <v>960000</v>
      </c>
      <c r="I96" s="50">
        <v>3</v>
      </c>
      <c r="J96" s="55">
        <v>0.3</v>
      </c>
      <c r="K96" s="49"/>
      <c r="L96" s="56"/>
      <c r="M96" s="61">
        <v>6</v>
      </c>
      <c r="N96" s="62">
        <v>8</v>
      </c>
      <c r="O96" s="62">
        <v>4</v>
      </c>
      <c r="P96" s="62">
        <v>4</v>
      </c>
      <c r="Q96" s="62">
        <v>4</v>
      </c>
      <c r="R96" s="62">
        <v>6</v>
      </c>
      <c r="S96" s="62">
        <v>1</v>
      </c>
      <c r="T96" s="63">
        <v>7</v>
      </c>
      <c r="U96" s="66" t="e">
        <f t="shared" ca="1" si="37"/>
        <v>#DIV/0!</v>
      </c>
      <c r="V96" s="66">
        <f t="shared" ca="1" si="38"/>
        <v>0.3</v>
      </c>
      <c r="W96" s="70">
        <f t="shared" si="39"/>
        <v>0.94736842105263153</v>
      </c>
      <c r="X96" s="70">
        <f t="shared" si="40"/>
        <v>0.84210526315789469</v>
      </c>
      <c r="Y96" s="70">
        <f t="shared" si="41"/>
        <v>0.56140350877192979</v>
      </c>
      <c r="Z96" s="70">
        <f t="shared" si="42"/>
        <v>0.70175438596491224</v>
      </c>
      <c r="AA96" s="70">
        <f t="shared" si="43"/>
        <v>0.35087719298245612</v>
      </c>
      <c r="AB96" s="70">
        <f t="shared" si="44"/>
        <v>0.73684210526315785</v>
      </c>
      <c r="AC96" s="70">
        <f t="shared" si="45"/>
        <v>0.10526315789473684</v>
      </c>
      <c r="AD96" s="71">
        <f t="shared" si="46"/>
        <v>0.73684210526315785</v>
      </c>
      <c r="AE96" s="72">
        <f t="shared" si="47"/>
        <v>0.7</v>
      </c>
      <c r="AF96" s="72">
        <f t="shared" ca="1" si="48"/>
        <v>0.7</v>
      </c>
      <c r="AG96" s="73">
        <f t="shared" ca="1" si="49"/>
        <v>0.69999999999999984</v>
      </c>
      <c r="AH96" s="456">
        <f t="shared" si="50"/>
        <v>4.9824561403508767</v>
      </c>
      <c r="AI96" s="467">
        <f t="shared" ca="1" si="51"/>
        <v>34.87719298245613</v>
      </c>
      <c r="AJ96" s="458" t="str">
        <f t="shared" ca="1" si="52"/>
        <v>Q4</v>
      </c>
      <c r="AK96" s="95" t="s">
        <v>360</v>
      </c>
      <c r="AL96" s="111"/>
      <c r="AM96" s="117"/>
      <c r="AN96" s="113"/>
      <c r="AO96" s="113"/>
      <c r="AP96" s="113"/>
      <c r="AQ96" s="121"/>
      <c r="AR96" s="436"/>
      <c r="AS96" s="437"/>
      <c r="AT96" s="437"/>
      <c r="AU96" s="437"/>
      <c r="AV96" s="437"/>
      <c r="AW96" s="94"/>
    </row>
    <row r="97" spans="1:49" ht="36" customHeight="1">
      <c r="A97" s="5">
        <v>125</v>
      </c>
      <c r="B97" s="625">
        <v>183</v>
      </c>
      <c r="C97" s="6" t="s">
        <v>53</v>
      </c>
      <c r="D97" s="371" t="s">
        <v>7</v>
      </c>
      <c r="E97" s="18" t="s">
        <v>99</v>
      </c>
      <c r="F97" s="20" t="s">
        <v>100</v>
      </c>
      <c r="G97" s="20" t="s">
        <v>101</v>
      </c>
      <c r="H97" s="604">
        <v>170000</v>
      </c>
      <c r="I97" s="50">
        <v>3</v>
      </c>
      <c r="J97" s="55">
        <v>0.2</v>
      </c>
      <c r="K97" s="49"/>
      <c r="L97" s="56"/>
      <c r="M97" s="61">
        <v>5.0000000000000027</v>
      </c>
      <c r="N97" s="62">
        <v>5.0000000000000027</v>
      </c>
      <c r="O97" s="62">
        <v>5.0000000000000027</v>
      </c>
      <c r="P97" s="62">
        <v>4.0000000000000027</v>
      </c>
      <c r="Q97" s="62">
        <v>4.0000000000000027</v>
      </c>
      <c r="R97" s="62">
        <v>6.0000000000000036</v>
      </c>
      <c r="S97" s="62">
        <v>3</v>
      </c>
      <c r="T97" s="63">
        <v>6.0000000000000036</v>
      </c>
      <c r="U97" s="66" t="e">
        <f t="shared" ca="1" si="37"/>
        <v>#DIV/0!</v>
      </c>
      <c r="V97" s="66">
        <f t="shared" ca="1" si="38"/>
        <v>0.2</v>
      </c>
      <c r="W97" s="70">
        <f t="shared" si="39"/>
        <v>0.78947368421052666</v>
      </c>
      <c r="X97" s="70">
        <f t="shared" si="40"/>
        <v>0.52631578947368451</v>
      </c>
      <c r="Y97" s="70">
        <f t="shared" si="41"/>
        <v>0.70175438596491269</v>
      </c>
      <c r="Z97" s="70">
        <f t="shared" si="42"/>
        <v>0.7017543859649128</v>
      </c>
      <c r="AA97" s="70">
        <f t="shared" si="43"/>
        <v>0.3508771929824564</v>
      </c>
      <c r="AB97" s="70">
        <f t="shared" si="44"/>
        <v>0.73684210526315841</v>
      </c>
      <c r="AC97" s="70">
        <f t="shared" si="45"/>
        <v>0.31578947368421051</v>
      </c>
      <c r="AD97" s="71">
        <f t="shared" si="46"/>
        <v>0.63157894736842146</v>
      </c>
      <c r="AE97" s="72">
        <f t="shared" si="47"/>
        <v>0.7</v>
      </c>
      <c r="AF97" s="72">
        <f t="shared" ca="1" si="48"/>
        <v>0.8</v>
      </c>
      <c r="AG97" s="73">
        <f t="shared" ca="1" si="49"/>
        <v>0.73333333333333339</v>
      </c>
      <c r="AH97" s="456">
        <f t="shared" si="50"/>
        <v>4.7543859649122826</v>
      </c>
      <c r="AI97" s="467">
        <f t="shared" ca="1" si="51"/>
        <v>34.865497076023409</v>
      </c>
      <c r="AJ97" s="458" t="str">
        <f t="shared" ca="1" si="52"/>
        <v>Q4</v>
      </c>
      <c r="AK97" s="95" t="s">
        <v>360</v>
      </c>
      <c r="AL97" s="573"/>
      <c r="AM97" s="117"/>
      <c r="AN97" s="113"/>
      <c r="AO97" s="113"/>
      <c r="AP97" s="113"/>
      <c r="AQ97" s="121"/>
      <c r="AR97" s="436"/>
      <c r="AS97" s="437"/>
      <c r="AT97" s="437"/>
      <c r="AU97" s="437"/>
      <c r="AV97" s="437"/>
      <c r="AW97" s="94"/>
    </row>
    <row r="98" spans="1:49" ht="36" customHeight="1">
      <c r="A98" s="5"/>
      <c r="B98" s="625">
        <v>184</v>
      </c>
      <c r="C98" s="6" t="s">
        <v>20</v>
      </c>
      <c r="D98" s="371" t="s">
        <v>418</v>
      </c>
      <c r="E98" s="21" t="s">
        <v>21</v>
      </c>
      <c r="F98" s="13" t="s">
        <v>1423</v>
      </c>
      <c r="G98" s="128" t="s">
        <v>22</v>
      </c>
      <c r="H98" s="603">
        <v>172000</v>
      </c>
      <c r="I98" s="50">
        <v>4</v>
      </c>
      <c r="J98" s="55">
        <v>0.4</v>
      </c>
      <c r="K98" s="49"/>
      <c r="L98" s="56"/>
      <c r="M98" s="61">
        <v>7.0000000000000044</v>
      </c>
      <c r="N98" s="62">
        <v>7.0000000000000044</v>
      </c>
      <c r="O98" s="62">
        <v>6.0000000000000036</v>
      </c>
      <c r="P98" s="62">
        <v>5</v>
      </c>
      <c r="Q98" s="62">
        <v>5</v>
      </c>
      <c r="R98" s="62">
        <v>7</v>
      </c>
      <c r="S98" s="62">
        <v>1</v>
      </c>
      <c r="T98" s="63">
        <v>8.0000000000000053</v>
      </c>
      <c r="U98" s="66" t="e">
        <f t="shared" ca="1" si="37"/>
        <v>#DIV/0!</v>
      </c>
      <c r="V98" s="66">
        <f t="shared" ca="1" si="38"/>
        <v>0.4</v>
      </c>
      <c r="W98" s="70">
        <f t="shared" si="39"/>
        <v>1.1052631578947376</v>
      </c>
      <c r="X98" s="70">
        <f t="shared" si="40"/>
        <v>0.73684210526315841</v>
      </c>
      <c r="Y98" s="70">
        <f t="shared" si="41"/>
        <v>0.84210526315789525</v>
      </c>
      <c r="Z98" s="70">
        <f t="shared" si="42"/>
        <v>0.8771929824561403</v>
      </c>
      <c r="AA98" s="70">
        <f t="shared" si="43"/>
        <v>0.43859649122807015</v>
      </c>
      <c r="AB98" s="70">
        <f t="shared" si="44"/>
        <v>0.85964912280701755</v>
      </c>
      <c r="AC98" s="70">
        <f t="shared" si="45"/>
        <v>0.10526315789473684</v>
      </c>
      <c r="AD98" s="71">
        <f t="shared" si="46"/>
        <v>0.84210526315789525</v>
      </c>
      <c r="AE98" s="72">
        <f t="shared" si="47"/>
        <v>0.6</v>
      </c>
      <c r="AF98" s="72">
        <f t="shared" ca="1" si="48"/>
        <v>0.6</v>
      </c>
      <c r="AG98" s="73">
        <f t="shared" ca="1" si="49"/>
        <v>0.6</v>
      </c>
      <c r="AH98" s="456">
        <f t="shared" si="50"/>
        <v>5.8070175438596516</v>
      </c>
      <c r="AI98" s="467">
        <f t="shared" ca="1" si="51"/>
        <v>34.842105263157912</v>
      </c>
      <c r="AJ98" s="458" t="str">
        <f t="shared" ca="1" si="52"/>
        <v>Q4</v>
      </c>
      <c r="AK98" s="95" t="s">
        <v>360</v>
      </c>
      <c r="AL98" s="572"/>
      <c r="AM98" s="117"/>
      <c r="AN98" s="113"/>
      <c r="AO98" s="113"/>
      <c r="AP98" s="113"/>
      <c r="AQ98" s="121"/>
      <c r="AR98" s="436"/>
      <c r="AS98" s="437"/>
      <c r="AT98" s="437"/>
      <c r="AU98" s="437"/>
      <c r="AV98" s="437"/>
      <c r="AW98" s="94"/>
    </row>
    <row r="99" spans="1:49" ht="36" customHeight="1">
      <c r="A99" s="5">
        <v>131</v>
      </c>
      <c r="B99" s="625">
        <v>185</v>
      </c>
      <c r="C99" s="6" t="s">
        <v>20</v>
      </c>
      <c r="D99" s="371" t="s">
        <v>7</v>
      </c>
      <c r="E99" s="18" t="s">
        <v>106</v>
      </c>
      <c r="F99" s="20" t="s">
        <v>1189</v>
      </c>
      <c r="G99" s="20" t="s">
        <v>107</v>
      </c>
      <c r="H99" s="603">
        <v>142000</v>
      </c>
      <c r="I99" s="50">
        <v>4</v>
      </c>
      <c r="J99" s="55">
        <v>0.4</v>
      </c>
      <c r="K99" s="49"/>
      <c r="L99" s="56"/>
      <c r="M99" s="61">
        <v>6</v>
      </c>
      <c r="N99" s="62">
        <v>6.0000000000000036</v>
      </c>
      <c r="O99" s="62">
        <v>6</v>
      </c>
      <c r="P99" s="62">
        <v>7</v>
      </c>
      <c r="Q99" s="62">
        <v>8.0000000000000053</v>
      </c>
      <c r="R99" s="62">
        <v>5.0000000000000027</v>
      </c>
      <c r="S99" s="62">
        <v>0</v>
      </c>
      <c r="T99" s="63">
        <v>8.0000000000000053</v>
      </c>
      <c r="U99" s="66" t="e">
        <f t="shared" ca="1" si="37"/>
        <v>#DIV/0!</v>
      </c>
      <c r="V99" s="66">
        <f t="shared" ca="1" si="38"/>
        <v>0.4</v>
      </c>
      <c r="W99" s="70">
        <f t="shared" si="39"/>
        <v>0.94736842105263153</v>
      </c>
      <c r="X99" s="70">
        <f t="shared" si="40"/>
        <v>0.63157894736842146</v>
      </c>
      <c r="Y99" s="70">
        <f t="shared" si="41"/>
        <v>0.84210526315789469</v>
      </c>
      <c r="Z99" s="70">
        <f t="shared" si="42"/>
        <v>1.2280701754385965</v>
      </c>
      <c r="AA99" s="70">
        <f t="shared" si="43"/>
        <v>0.7017543859649128</v>
      </c>
      <c r="AB99" s="70">
        <f t="shared" si="44"/>
        <v>0.6140350877192986</v>
      </c>
      <c r="AC99" s="70">
        <f t="shared" si="45"/>
        <v>0</v>
      </c>
      <c r="AD99" s="71">
        <f t="shared" si="46"/>
        <v>0.84210526315789525</v>
      </c>
      <c r="AE99" s="72">
        <f t="shared" si="47"/>
        <v>0.6</v>
      </c>
      <c r="AF99" s="72">
        <f t="shared" ca="1" si="48"/>
        <v>0.6</v>
      </c>
      <c r="AG99" s="73">
        <f t="shared" ca="1" si="49"/>
        <v>0.6</v>
      </c>
      <c r="AH99" s="456">
        <f t="shared" si="50"/>
        <v>5.8070175438596516</v>
      </c>
      <c r="AI99" s="467">
        <f t="shared" ca="1" si="51"/>
        <v>34.842105263157912</v>
      </c>
      <c r="AJ99" s="458" t="str">
        <f t="shared" ca="1" si="52"/>
        <v>Q4</v>
      </c>
      <c r="AK99" s="95" t="s">
        <v>360</v>
      </c>
      <c r="AL99" s="111"/>
      <c r="AM99" s="117"/>
      <c r="AN99" s="113"/>
      <c r="AO99" s="113"/>
      <c r="AP99" s="113"/>
      <c r="AQ99" s="121"/>
      <c r="AR99" s="436"/>
      <c r="AS99" s="437"/>
      <c r="AT99" s="437"/>
      <c r="AU99" s="437"/>
      <c r="AV99" s="437"/>
      <c r="AW99" s="94"/>
    </row>
    <row r="100" spans="1:49" ht="36" customHeight="1">
      <c r="A100" s="5"/>
      <c r="B100" s="625">
        <v>186</v>
      </c>
      <c r="C100" s="6" t="s">
        <v>8</v>
      </c>
      <c r="D100" s="371" t="s">
        <v>7</v>
      </c>
      <c r="E100" s="18" t="s">
        <v>229</v>
      </c>
      <c r="F100" s="20" t="s">
        <v>1378</v>
      </c>
      <c r="G100" s="20"/>
      <c r="H100" s="603">
        <v>205000</v>
      </c>
      <c r="I100" s="50">
        <v>3</v>
      </c>
      <c r="J100" s="55">
        <v>0</v>
      </c>
      <c r="K100" s="49"/>
      <c r="L100" s="56"/>
      <c r="M100" s="61">
        <v>3</v>
      </c>
      <c r="N100" s="62">
        <v>4.0000000000000027</v>
      </c>
      <c r="O100" s="62">
        <v>5</v>
      </c>
      <c r="P100" s="62">
        <v>6.0000000000000036</v>
      </c>
      <c r="Q100" s="62">
        <v>4</v>
      </c>
      <c r="R100" s="62">
        <v>4.0000000000000027</v>
      </c>
      <c r="S100" s="62">
        <v>4</v>
      </c>
      <c r="T100" s="63">
        <v>4.0000000000000027</v>
      </c>
      <c r="U100" s="66" t="e">
        <f t="shared" ca="1" si="37"/>
        <v>#DIV/0!</v>
      </c>
      <c r="V100" s="66">
        <f t="shared" ca="1" si="38"/>
        <v>0</v>
      </c>
      <c r="W100" s="70">
        <f t="shared" si="39"/>
        <v>0.47368421052631576</v>
      </c>
      <c r="X100" s="70">
        <f t="shared" si="40"/>
        <v>0.42105263157894762</v>
      </c>
      <c r="Y100" s="70">
        <f t="shared" si="41"/>
        <v>0.70175438596491224</v>
      </c>
      <c r="Z100" s="70">
        <f t="shared" si="42"/>
        <v>1.052631578947369</v>
      </c>
      <c r="AA100" s="70">
        <f t="shared" si="43"/>
        <v>0.35087719298245612</v>
      </c>
      <c r="AB100" s="70">
        <f t="shared" si="44"/>
        <v>0.4912280701754389</v>
      </c>
      <c r="AC100" s="70">
        <f t="shared" si="45"/>
        <v>0.42105263157894735</v>
      </c>
      <c r="AD100" s="71">
        <f t="shared" si="46"/>
        <v>0.42105263157894762</v>
      </c>
      <c r="AE100" s="72">
        <f t="shared" si="47"/>
        <v>0.7</v>
      </c>
      <c r="AF100" s="72">
        <f t="shared" ca="1" si="48"/>
        <v>1</v>
      </c>
      <c r="AG100" s="73">
        <f t="shared" ca="1" si="49"/>
        <v>0.79999999999999993</v>
      </c>
      <c r="AH100" s="456">
        <f t="shared" si="50"/>
        <v>4.3333333333333348</v>
      </c>
      <c r="AI100" s="467">
        <f t="shared" ca="1" si="51"/>
        <v>34.666666666666679</v>
      </c>
      <c r="AJ100" s="458" t="str">
        <f t="shared" ca="1" si="52"/>
        <v>Q2</v>
      </c>
      <c r="AK100" s="95" t="s">
        <v>360</v>
      </c>
      <c r="AL100" s="573"/>
      <c r="AM100" s="117"/>
      <c r="AN100" s="113"/>
      <c r="AO100" s="113"/>
      <c r="AP100" s="113"/>
      <c r="AQ100" s="121"/>
      <c r="AR100" s="436"/>
      <c r="AS100" s="437"/>
      <c r="AT100" s="437"/>
      <c r="AU100" s="437"/>
      <c r="AV100" s="437"/>
      <c r="AW100" s="94"/>
    </row>
    <row r="101" spans="1:49" ht="36" customHeight="1">
      <c r="A101" s="5"/>
      <c r="B101" s="625">
        <v>187</v>
      </c>
      <c r="C101" s="6" t="s">
        <v>12</v>
      </c>
      <c r="D101" s="371" t="s">
        <v>7</v>
      </c>
      <c r="E101" s="12" t="s">
        <v>227</v>
      </c>
      <c r="F101" s="13" t="s">
        <v>1195</v>
      </c>
      <c r="G101" s="116" t="s">
        <v>228</v>
      </c>
      <c r="H101" s="609">
        <v>7230000</v>
      </c>
      <c r="I101" s="50">
        <v>5</v>
      </c>
      <c r="J101" s="55">
        <v>0.5</v>
      </c>
      <c r="K101" s="49"/>
      <c r="L101" s="56"/>
      <c r="M101" s="61">
        <v>8.0000000000000053</v>
      </c>
      <c r="N101" s="62">
        <v>8.0000000000000053</v>
      </c>
      <c r="O101" s="62">
        <v>4</v>
      </c>
      <c r="P101" s="62">
        <v>9.9999999999999982</v>
      </c>
      <c r="Q101" s="62">
        <v>3</v>
      </c>
      <c r="R101" s="62">
        <v>8.0000000000000053</v>
      </c>
      <c r="S101" s="62">
        <v>4</v>
      </c>
      <c r="T101" s="63">
        <v>8.0000000000000053</v>
      </c>
      <c r="U101" s="66" t="e">
        <f t="shared" ca="1" si="37"/>
        <v>#DIV/0!</v>
      </c>
      <c r="V101" s="66">
        <f t="shared" ca="1" si="38"/>
        <v>0.5</v>
      </c>
      <c r="W101" s="70">
        <f t="shared" si="39"/>
        <v>1.2631578947368429</v>
      </c>
      <c r="X101" s="70">
        <f t="shared" si="40"/>
        <v>0.84210526315789525</v>
      </c>
      <c r="Y101" s="70">
        <f t="shared" si="41"/>
        <v>0.56140350877192979</v>
      </c>
      <c r="Z101" s="70">
        <f t="shared" si="42"/>
        <v>1.7543859649122804</v>
      </c>
      <c r="AA101" s="70">
        <f t="shared" si="43"/>
        <v>0.26315789473684209</v>
      </c>
      <c r="AB101" s="70">
        <f t="shared" si="44"/>
        <v>0.9824561403508778</v>
      </c>
      <c r="AC101" s="70">
        <f t="shared" si="45"/>
        <v>0.42105263157894735</v>
      </c>
      <c r="AD101" s="71">
        <f t="shared" si="46"/>
        <v>0.84210526315789525</v>
      </c>
      <c r="AE101" s="72">
        <f t="shared" si="47"/>
        <v>0.5</v>
      </c>
      <c r="AF101" s="72">
        <f t="shared" ca="1" si="48"/>
        <v>0.5</v>
      </c>
      <c r="AG101" s="73">
        <f t="shared" ca="1" si="49"/>
        <v>0.5</v>
      </c>
      <c r="AH101" s="456">
        <f t="shared" si="50"/>
        <v>6.9298245614035121</v>
      </c>
      <c r="AI101" s="467">
        <f t="shared" ca="1" si="51"/>
        <v>34.649122807017562</v>
      </c>
      <c r="AJ101" s="458" t="str">
        <f t="shared" ca="1" si="52"/>
        <v>Q3</v>
      </c>
      <c r="AK101" s="95" t="s">
        <v>360</v>
      </c>
      <c r="AL101" s="111"/>
      <c r="AM101" s="117"/>
      <c r="AN101" s="113"/>
      <c r="AO101" s="113"/>
      <c r="AP101" s="113"/>
      <c r="AQ101" s="121"/>
      <c r="AR101" s="438"/>
      <c r="AS101" s="437"/>
      <c r="AT101" s="437"/>
      <c r="AU101" s="437"/>
      <c r="AV101" s="437"/>
      <c r="AW101" s="94"/>
    </row>
    <row r="102" spans="1:49" ht="36" customHeight="1">
      <c r="A102" s="5"/>
      <c r="B102" s="625">
        <v>188</v>
      </c>
      <c r="C102" s="6" t="s">
        <v>6</v>
      </c>
      <c r="D102" s="371" t="s">
        <v>7</v>
      </c>
      <c r="E102" s="7" t="s">
        <v>42</v>
      </c>
      <c r="F102" s="11" t="s">
        <v>1216</v>
      </c>
      <c r="G102" s="8"/>
      <c r="H102" s="607">
        <v>525000</v>
      </c>
      <c r="I102" s="49">
        <v>4</v>
      </c>
      <c r="J102" s="55">
        <v>0.2</v>
      </c>
      <c r="K102" s="49"/>
      <c r="L102" s="56"/>
      <c r="M102" s="61">
        <v>6.0000000000000036</v>
      </c>
      <c r="N102" s="62">
        <v>8.0000000000000053</v>
      </c>
      <c r="O102" s="62">
        <v>3</v>
      </c>
      <c r="P102" s="62">
        <v>4</v>
      </c>
      <c r="Q102" s="62">
        <v>2</v>
      </c>
      <c r="R102" s="62">
        <v>6.0000000000000036</v>
      </c>
      <c r="S102" s="62">
        <v>5</v>
      </c>
      <c r="T102" s="63">
        <v>8.0000000000000053</v>
      </c>
      <c r="U102" s="66" t="e">
        <f t="shared" ref="U102:U133" ca="1" si="53">(L102-(YEAR(TODAY())-K102))/L102</f>
        <v>#DIV/0!</v>
      </c>
      <c r="V102" s="66">
        <f t="shared" ref="V102:V133" ca="1" si="54">IFERROR(U102,J102)</f>
        <v>0.2</v>
      </c>
      <c r="W102" s="70">
        <f t="shared" ref="W102:W133" si="55">M102*Weight1/(WSum)</f>
        <v>0.94736842105263208</v>
      </c>
      <c r="X102" s="70">
        <f t="shared" ref="X102:X133" si="56">N102*Weight2/(WSum)</f>
        <v>0.84210526315789525</v>
      </c>
      <c r="Y102" s="70">
        <f t="shared" ref="Y102:Y133" si="57">O102*Weight3/(WSum)</f>
        <v>0.42105263157894735</v>
      </c>
      <c r="Z102" s="70">
        <f t="shared" ref="Z102:Z133" si="58">P102*Weight4/(WSum)</f>
        <v>0.70175438596491224</v>
      </c>
      <c r="AA102" s="70">
        <f t="shared" ref="AA102:AA133" si="59">Q102*Weight5/(WSum)</f>
        <v>0.17543859649122806</v>
      </c>
      <c r="AB102" s="70">
        <f t="shared" ref="AB102:AB133" si="60">R102*Weight6/(WSum)</f>
        <v>0.73684210526315841</v>
      </c>
      <c r="AC102" s="70">
        <f t="shared" ref="AC102:AC133" si="61">S102*Weight7/(WSum)</f>
        <v>0.52631578947368418</v>
      </c>
      <c r="AD102" s="71">
        <f t="shared" ref="AD102:AD133" si="62">T102*Weight8/(WSum)</f>
        <v>0.84210526315789525</v>
      </c>
      <c r="AE102" s="72">
        <f t="shared" ref="AE102:AE133" si="63">-1/10*I102+1</f>
        <v>0.6</v>
      </c>
      <c r="AF102" s="72">
        <f t="shared" ref="AF102:AF133" ca="1" si="64">IF(V102&lt;0,0,-V102+1)</f>
        <v>0.8</v>
      </c>
      <c r="AG102" s="73">
        <f t="shared" ref="AG102:AG133" ca="1" si="65">(AE102*CondWeight+AF102*PLifeWeight)/(CondWeight+PLifeWeight)</f>
        <v>0.66666666666666663</v>
      </c>
      <c r="AH102" s="456">
        <f t="shared" ref="AH102:AH133" si="66">SUM(W102:AD102)</f>
        <v>5.1929824561403537</v>
      </c>
      <c r="AI102" s="467">
        <f t="shared" ref="AI102:AI133" ca="1" si="67">AH102*AG102*10</f>
        <v>34.61988304093569</v>
      </c>
      <c r="AJ102" s="458" t="str">
        <f t="shared" ref="AJ102:AJ133" ca="1" si="68">IF(AG102&gt;$AG$2,IF(AH102&gt;$AH$2,"Q1","Q2"),IF(AH102&gt;$AH$2,"Q3","Q4"))</f>
        <v>Q4</v>
      </c>
      <c r="AK102" s="93" t="s">
        <v>360</v>
      </c>
      <c r="AL102" s="110"/>
      <c r="AM102" s="117"/>
      <c r="AN102" s="113"/>
      <c r="AO102" s="113"/>
      <c r="AP102" s="113"/>
      <c r="AQ102" s="121"/>
      <c r="AR102" s="436"/>
      <c r="AS102" s="437"/>
      <c r="AT102" s="437"/>
      <c r="AU102" s="437"/>
      <c r="AV102" s="437"/>
      <c r="AW102" s="94"/>
    </row>
    <row r="103" spans="1:49" ht="36" customHeight="1">
      <c r="A103" s="5">
        <v>48</v>
      </c>
      <c r="B103" s="625">
        <v>189</v>
      </c>
      <c r="C103" s="6" t="s">
        <v>18</v>
      </c>
      <c r="D103" s="371" t="s">
        <v>7</v>
      </c>
      <c r="E103" s="18" t="s">
        <v>189</v>
      </c>
      <c r="F103" s="20" t="s">
        <v>190</v>
      </c>
      <c r="G103" s="20" t="s">
        <v>191</v>
      </c>
      <c r="H103" s="603">
        <v>75000</v>
      </c>
      <c r="I103" s="50">
        <v>3</v>
      </c>
      <c r="J103" s="55">
        <v>0.4</v>
      </c>
      <c r="K103" s="49"/>
      <c r="L103" s="56"/>
      <c r="M103" s="61">
        <v>4.0000000000000027</v>
      </c>
      <c r="N103" s="62">
        <v>6.0000000000000036</v>
      </c>
      <c r="O103" s="62">
        <v>6.0000000000000036</v>
      </c>
      <c r="P103" s="62">
        <v>6.0000000000000036</v>
      </c>
      <c r="Q103" s="62">
        <v>4.0000000000000027</v>
      </c>
      <c r="R103" s="62">
        <v>6.0000000000000036</v>
      </c>
      <c r="S103" s="62">
        <v>3</v>
      </c>
      <c r="T103" s="63">
        <v>6.0000000000000036</v>
      </c>
      <c r="U103" s="66" t="e">
        <f t="shared" ca="1" si="53"/>
        <v>#DIV/0!</v>
      </c>
      <c r="V103" s="66">
        <f t="shared" ca="1" si="54"/>
        <v>0.4</v>
      </c>
      <c r="W103" s="70">
        <f t="shared" si="55"/>
        <v>0.63157894736842146</v>
      </c>
      <c r="X103" s="70">
        <f t="shared" si="56"/>
        <v>0.63157894736842146</v>
      </c>
      <c r="Y103" s="70">
        <f t="shared" si="57"/>
        <v>0.84210526315789525</v>
      </c>
      <c r="Z103" s="70">
        <f t="shared" si="58"/>
        <v>1.052631578947369</v>
      </c>
      <c r="AA103" s="70">
        <f t="shared" si="59"/>
        <v>0.3508771929824564</v>
      </c>
      <c r="AB103" s="70">
        <f t="shared" si="60"/>
        <v>0.73684210526315841</v>
      </c>
      <c r="AC103" s="70">
        <f t="shared" si="61"/>
        <v>0.31578947368421051</v>
      </c>
      <c r="AD103" s="71">
        <f t="shared" si="62"/>
        <v>0.63157894736842146</v>
      </c>
      <c r="AE103" s="72">
        <f t="shared" si="63"/>
        <v>0.7</v>
      </c>
      <c r="AF103" s="72">
        <f t="shared" ca="1" si="64"/>
        <v>0.6</v>
      </c>
      <c r="AG103" s="73">
        <f t="shared" ca="1" si="65"/>
        <v>0.66666666666666663</v>
      </c>
      <c r="AH103" s="456">
        <f t="shared" si="66"/>
        <v>5.1929824561403537</v>
      </c>
      <c r="AI103" s="467">
        <f t="shared" ca="1" si="67"/>
        <v>34.61988304093569</v>
      </c>
      <c r="AJ103" s="458" t="str">
        <f t="shared" ca="1" si="68"/>
        <v>Q4</v>
      </c>
      <c r="AK103" s="95" t="s">
        <v>360</v>
      </c>
      <c r="AL103" s="573"/>
      <c r="AM103" s="117"/>
      <c r="AN103" s="123"/>
      <c r="AO103" s="113"/>
      <c r="AP103" s="119"/>
      <c r="AQ103" s="121"/>
      <c r="AR103" s="436"/>
      <c r="AS103" s="437"/>
      <c r="AT103" s="437"/>
      <c r="AU103" s="437"/>
      <c r="AV103" s="437"/>
      <c r="AW103" s="94"/>
    </row>
    <row r="104" spans="1:49" ht="36" customHeight="1">
      <c r="A104" s="5"/>
      <c r="B104" s="625">
        <v>191</v>
      </c>
      <c r="C104" s="6" t="s">
        <v>8</v>
      </c>
      <c r="D104" s="371" t="s">
        <v>7</v>
      </c>
      <c r="E104" s="18" t="s">
        <v>287</v>
      </c>
      <c r="F104" s="20" t="s">
        <v>1401</v>
      </c>
      <c r="G104" s="20" t="s">
        <v>288</v>
      </c>
      <c r="H104" s="603">
        <v>108000</v>
      </c>
      <c r="I104" s="50">
        <v>2</v>
      </c>
      <c r="J104" s="55">
        <v>0.1</v>
      </c>
      <c r="K104" s="49"/>
      <c r="L104" s="56"/>
      <c r="M104" s="61">
        <v>2</v>
      </c>
      <c r="N104" s="62">
        <v>4</v>
      </c>
      <c r="O104" s="62">
        <v>2</v>
      </c>
      <c r="P104" s="62">
        <v>8.0000000000000053</v>
      </c>
      <c r="Q104" s="62">
        <v>8.0000000000000053</v>
      </c>
      <c r="R104" s="62">
        <v>4</v>
      </c>
      <c r="S104" s="62">
        <v>1</v>
      </c>
      <c r="T104" s="63">
        <v>4.0000000000000027</v>
      </c>
      <c r="U104" s="66" t="e">
        <f t="shared" ca="1" si="53"/>
        <v>#DIV/0!</v>
      </c>
      <c r="V104" s="66">
        <f t="shared" ca="1" si="54"/>
        <v>0.1</v>
      </c>
      <c r="W104" s="70">
        <f t="shared" si="55"/>
        <v>0.31578947368421051</v>
      </c>
      <c r="X104" s="70">
        <f t="shared" si="56"/>
        <v>0.42105263157894735</v>
      </c>
      <c r="Y104" s="70">
        <f t="shared" si="57"/>
        <v>0.2807017543859649</v>
      </c>
      <c r="Z104" s="70">
        <f t="shared" si="58"/>
        <v>1.4035087719298256</v>
      </c>
      <c r="AA104" s="70">
        <f t="shared" si="59"/>
        <v>0.7017543859649128</v>
      </c>
      <c r="AB104" s="70">
        <f t="shared" si="60"/>
        <v>0.49122807017543857</v>
      </c>
      <c r="AC104" s="70">
        <f t="shared" si="61"/>
        <v>0.10526315789473684</v>
      </c>
      <c r="AD104" s="71">
        <f t="shared" si="62"/>
        <v>0.42105263157894762</v>
      </c>
      <c r="AE104" s="72">
        <f t="shared" si="63"/>
        <v>0.8</v>
      </c>
      <c r="AF104" s="72">
        <f t="shared" ca="1" si="64"/>
        <v>0.9</v>
      </c>
      <c r="AG104" s="73">
        <f t="shared" ca="1" si="65"/>
        <v>0.83333333333333337</v>
      </c>
      <c r="AH104" s="456">
        <f t="shared" si="66"/>
        <v>4.1403508771929838</v>
      </c>
      <c r="AI104" s="467">
        <f t="shared" ca="1" si="67"/>
        <v>34.502923976608201</v>
      </c>
      <c r="AJ104" s="458" t="str">
        <f t="shared" ca="1" si="68"/>
        <v>Q2</v>
      </c>
      <c r="AK104" s="95" t="s">
        <v>360</v>
      </c>
      <c r="AL104" s="572"/>
      <c r="AM104" s="117"/>
      <c r="AN104" s="113"/>
      <c r="AO104" s="113"/>
      <c r="AP104" s="113"/>
      <c r="AQ104" s="121"/>
      <c r="AR104" s="436"/>
      <c r="AS104" s="437"/>
      <c r="AT104" s="437"/>
      <c r="AU104" s="437"/>
      <c r="AV104" s="437"/>
      <c r="AW104" s="94"/>
    </row>
    <row r="105" spans="1:49" ht="36" customHeight="1">
      <c r="A105" s="1">
        <v>62</v>
      </c>
      <c r="B105" s="625">
        <v>192</v>
      </c>
      <c r="C105" s="2" t="s">
        <v>12</v>
      </c>
      <c r="D105" s="370" t="s">
        <v>418</v>
      </c>
      <c r="E105" s="461" t="s">
        <v>1492</v>
      </c>
      <c r="F105" s="462" t="s">
        <v>1240</v>
      </c>
      <c r="G105" s="487" t="s">
        <v>25</v>
      </c>
      <c r="H105" s="601">
        <v>1000000</v>
      </c>
      <c r="I105" s="380">
        <v>5</v>
      </c>
      <c r="J105" s="377">
        <v>0.5</v>
      </c>
      <c r="K105" s="376"/>
      <c r="L105" s="378"/>
      <c r="M105" s="61">
        <v>8.0000000000000053</v>
      </c>
      <c r="N105" s="62">
        <v>8.0000000000000053</v>
      </c>
      <c r="O105" s="62">
        <v>6.0000000000000036</v>
      </c>
      <c r="P105" s="62">
        <v>9.9999999999999982</v>
      </c>
      <c r="Q105" s="62">
        <v>4.0000000000000027</v>
      </c>
      <c r="R105" s="62">
        <v>8.0000000000000053</v>
      </c>
      <c r="S105" s="62">
        <v>0</v>
      </c>
      <c r="T105" s="63">
        <v>8.0000000000000053</v>
      </c>
      <c r="U105" s="379" t="e">
        <f t="shared" ca="1" si="53"/>
        <v>#DIV/0!</v>
      </c>
      <c r="V105" s="379">
        <f t="shared" ca="1" si="54"/>
        <v>0.5</v>
      </c>
      <c r="W105" s="70">
        <f t="shared" si="55"/>
        <v>1.2631578947368429</v>
      </c>
      <c r="X105" s="70">
        <f t="shared" si="56"/>
        <v>0.84210526315789525</v>
      </c>
      <c r="Y105" s="70">
        <f t="shared" si="57"/>
        <v>0.84210526315789525</v>
      </c>
      <c r="Z105" s="70">
        <f t="shared" si="58"/>
        <v>1.7543859649122804</v>
      </c>
      <c r="AA105" s="70">
        <f t="shared" si="59"/>
        <v>0.3508771929824564</v>
      </c>
      <c r="AB105" s="70">
        <f t="shared" si="60"/>
        <v>0.9824561403508778</v>
      </c>
      <c r="AC105" s="70">
        <f t="shared" si="61"/>
        <v>0</v>
      </c>
      <c r="AD105" s="71">
        <f t="shared" si="62"/>
        <v>0.84210526315789525</v>
      </c>
      <c r="AE105" s="72">
        <f t="shared" si="63"/>
        <v>0.5</v>
      </c>
      <c r="AF105" s="72">
        <f t="shared" ca="1" si="64"/>
        <v>0.5</v>
      </c>
      <c r="AG105" s="73">
        <f t="shared" ca="1" si="65"/>
        <v>0.5</v>
      </c>
      <c r="AH105" s="455">
        <f t="shared" si="66"/>
        <v>6.8771929824561431</v>
      </c>
      <c r="AI105" s="466">
        <f t="shared" ca="1" si="67"/>
        <v>34.385964912280713</v>
      </c>
      <c r="AJ105" s="458" t="str">
        <f t="shared" ca="1" si="68"/>
        <v>Q3</v>
      </c>
      <c r="AK105" s="373" t="s">
        <v>360</v>
      </c>
      <c r="AL105" s="572"/>
      <c r="AM105" s="117"/>
      <c r="AN105" s="113"/>
      <c r="AO105" s="113"/>
      <c r="AP105" s="113"/>
      <c r="AQ105" s="121"/>
      <c r="AR105" s="436"/>
      <c r="AS105" s="437"/>
      <c r="AT105" s="437"/>
      <c r="AU105" s="437"/>
      <c r="AV105" s="437"/>
      <c r="AW105" s="92"/>
    </row>
    <row r="106" spans="1:49" ht="36" customHeight="1">
      <c r="A106" s="5">
        <v>272</v>
      </c>
      <c r="B106" s="625">
        <v>194</v>
      </c>
      <c r="C106" s="6" t="s">
        <v>12</v>
      </c>
      <c r="D106" s="371" t="s">
        <v>7</v>
      </c>
      <c r="E106" s="18" t="s">
        <v>74</v>
      </c>
      <c r="F106" s="19" t="s">
        <v>75</v>
      </c>
      <c r="G106" s="20" t="s">
        <v>76</v>
      </c>
      <c r="H106" s="603">
        <v>166000</v>
      </c>
      <c r="I106" s="50">
        <v>3</v>
      </c>
      <c r="J106" s="55">
        <v>0.2</v>
      </c>
      <c r="K106" s="49"/>
      <c r="L106" s="56"/>
      <c r="M106" s="61">
        <v>7</v>
      </c>
      <c r="N106" s="62">
        <v>1</v>
      </c>
      <c r="O106" s="62">
        <v>4.0000000000000027</v>
      </c>
      <c r="P106" s="62">
        <v>4.0000000000000027</v>
      </c>
      <c r="Q106" s="62">
        <v>6.0000000000000036</v>
      </c>
      <c r="R106" s="62">
        <v>6.0000000000000036</v>
      </c>
      <c r="S106" s="62">
        <v>1</v>
      </c>
      <c r="T106" s="63">
        <v>8.0000000000000053</v>
      </c>
      <c r="U106" s="66" t="e">
        <f t="shared" ca="1" si="53"/>
        <v>#DIV/0!</v>
      </c>
      <c r="V106" s="66">
        <f t="shared" ca="1" si="54"/>
        <v>0.2</v>
      </c>
      <c r="W106" s="70">
        <f t="shared" si="55"/>
        <v>1.1052631578947369</v>
      </c>
      <c r="X106" s="70">
        <f t="shared" si="56"/>
        <v>0.10526315789473684</v>
      </c>
      <c r="Y106" s="70">
        <f t="shared" si="57"/>
        <v>0.56140350877193024</v>
      </c>
      <c r="Z106" s="70">
        <f t="shared" si="58"/>
        <v>0.7017543859649128</v>
      </c>
      <c r="AA106" s="70">
        <f t="shared" si="59"/>
        <v>0.52631578947368451</v>
      </c>
      <c r="AB106" s="70">
        <f t="shared" si="60"/>
        <v>0.73684210526315841</v>
      </c>
      <c r="AC106" s="70">
        <f t="shared" si="61"/>
        <v>0.10526315789473684</v>
      </c>
      <c r="AD106" s="71">
        <f t="shared" si="62"/>
        <v>0.84210526315789525</v>
      </c>
      <c r="AE106" s="72">
        <f t="shared" si="63"/>
        <v>0.7</v>
      </c>
      <c r="AF106" s="72">
        <f t="shared" ca="1" si="64"/>
        <v>0.8</v>
      </c>
      <c r="AG106" s="73">
        <f t="shared" ca="1" si="65"/>
        <v>0.73333333333333339</v>
      </c>
      <c r="AH106" s="456">
        <f t="shared" si="66"/>
        <v>4.684210526315792</v>
      </c>
      <c r="AI106" s="467">
        <f t="shared" ca="1" si="67"/>
        <v>34.35087719298248</v>
      </c>
      <c r="AJ106" s="458" t="str">
        <f t="shared" ca="1" si="68"/>
        <v>Q4</v>
      </c>
      <c r="AK106" s="95" t="s">
        <v>360</v>
      </c>
      <c r="AL106" s="111"/>
      <c r="AM106" s="118"/>
      <c r="AN106" s="123"/>
      <c r="AO106" s="113"/>
      <c r="AP106" s="113"/>
      <c r="AQ106" s="121"/>
      <c r="AR106" s="436"/>
      <c r="AS106" s="437"/>
      <c r="AT106" s="437"/>
      <c r="AU106" s="437"/>
      <c r="AV106" s="437"/>
      <c r="AW106" s="94"/>
    </row>
    <row r="107" spans="1:49" ht="36" customHeight="1">
      <c r="A107" s="5"/>
      <c r="B107" s="625">
        <v>195</v>
      </c>
      <c r="C107" s="6" t="s">
        <v>18</v>
      </c>
      <c r="D107" s="371" t="s">
        <v>7</v>
      </c>
      <c r="E107" s="18" t="s">
        <v>133</v>
      </c>
      <c r="F107" s="20" t="s">
        <v>1387</v>
      </c>
      <c r="G107" s="20" t="s">
        <v>134</v>
      </c>
      <c r="H107" s="610">
        <v>225000</v>
      </c>
      <c r="I107" s="50">
        <v>3</v>
      </c>
      <c r="J107" s="55">
        <v>0.2</v>
      </c>
      <c r="K107" s="49"/>
      <c r="L107" s="56"/>
      <c r="M107" s="61">
        <v>4.0000000000000027</v>
      </c>
      <c r="N107" s="62">
        <v>5</v>
      </c>
      <c r="O107" s="62">
        <v>5</v>
      </c>
      <c r="P107" s="62">
        <v>4.0000000000000027</v>
      </c>
      <c r="Q107" s="62">
        <v>5</v>
      </c>
      <c r="R107" s="62">
        <v>6.0000000000000036</v>
      </c>
      <c r="S107" s="62">
        <v>3</v>
      </c>
      <c r="T107" s="63">
        <v>6.0000000000000036</v>
      </c>
      <c r="U107" s="66" t="e">
        <f t="shared" ca="1" si="53"/>
        <v>#DIV/0!</v>
      </c>
      <c r="V107" s="66">
        <f t="shared" ca="1" si="54"/>
        <v>0.2</v>
      </c>
      <c r="W107" s="70">
        <f t="shared" si="55"/>
        <v>0.63157894736842146</v>
      </c>
      <c r="X107" s="70">
        <f t="shared" si="56"/>
        <v>0.52631578947368418</v>
      </c>
      <c r="Y107" s="70">
        <f t="shared" si="57"/>
        <v>0.70175438596491224</v>
      </c>
      <c r="Z107" s="70">
        <f t="shared" si="58"/>
        <v>0.7017543859649128</v>
      </c>
      <c r="AA107" s="70">
        <f t="shared" si="59"/>
        <v>0.43859649122807015</v>
      </c>
      <c r="AB107" s="70">
        <f t="shared" si="60"/>
        <v>0.73684210526315841</v>
      </c>
      <c r="AC107" s="70">
        <f t="shared" si="61"/>
        <v>0.31578947368421051</v>
      </c>
      <c r="AD107" s="71">
        <f t="shared" si="62"/>
        <v>0.63157894736842146</v>
      </c>
      <c r="AE107" s="72">
        <f t="shared" si="63"/>
        <v>0.7</v>
      </c>
      <c r="AF107" s="72">
        <f t="shared" ca="1" si="64"/>
        <v>0.8</v>
      </c>
      <c r="AG107" s="73">
        <f t="shared" ca="1" si="65"/>
        <v>0.73333333333333339</v>
      </c>
      <c r="AH107" s="456">
        <f t="shared" si="66"/>
        <v>4.6842105263157912</v>
      </c>
      <c r="AI107" s="467">
        <f t="shared" ca="1" si="67"/>
        <v>34.350877192982466</v>
      </c>
      <c r="AJ107" s="458" t="str">
        <f t="shared" ca="1" si="68"/>
        <v>Q4</v>
      </c>
      <c r="AK107" s="95" t="s">
        <v>360</v>
      </c>
      <c r="AL107" s="573"/>
      <c r="AM107" s="118"/>
      <c r="AN107" s="119"/>
      <c r="AO107" s="119"/>
      <c r="AP107" s="119"/>
      <c r="AQ107" s="586"/>
      <c r="AR107" s="436"/>
      <c r="AS107" s="437"/>
      <c r="AT107" s="437"/>
      <c r="AU107" s="437"/>
      <c r="AV107" s="437"/>
      <c r="AW107" s="94"/>
    </row>
    <row r="108" spans="1:49" ht="36" customHeight="1">
      <c r="A108" s="5">
        <v>93</v>
      </c>
      <c r="B108" s="625">
        <v>197</v>
      </c>
      <c r="C108" s="6" t="s">
        <v>6</v>
      </c>
      <c r="D108" s="371" t="s">
        <v>7</v>
      </c>
      <c r="E108" s="7" t="s">
        <v>140</v>
      </c>
      <c r="F108" s="9" t="s">
        <v>141</v>
      </c>
      <c r="G108" s="8"/>
      <c r="H108" s="600">
        <v>75000</v>
      </c>
      <c r="I108" s="49">
        <v>4</v>
      </c>
      <c r="J108" s="55">
        <v>0.3</v>
      </c>
      <c r="K108" s="49"/>
      <c r="L108" s="56"/>
      <c r="M108" s="61">
        <v>6.0000000000000036</v>
      </c>
      <c r="N108" s="62">
        <v>7.0000000000000044</v>
      </c>
      <c r="O108" s="62">
        <v>4.0000000000000027</v>
      </c>
      <c r="P108" s="62">
        <v>6.0000000000000036</v>
      </c>
      <c r="Q108" s="62">
        <v>6.0000000000000036</v>
      </c>
      <c r="R108" s="62">
        <v>6.0000000000000036</v>
      </c>
      <c r="S108" s="62">
        <v>2</v>
      </c>
      <c r="T108" s="63">
        <v>6.0000000000000036</v>
      </c>
      <c r="U108" s="66" t="e">
        <f t="shared" ca="1" si="53"/>
        <v>#DIV/0!</v>
      </c>
      <c r="V108" s="66">
        <f t="shared" ca="1" si="54"/>
        <v>0.3</v>
      </c>
      <c r="W108" s="70">
        <f t="shared" si="55"/>
        <v>0.94736842105263208</v>
      </c>
      <c r="X108" s="70">
        <f t="shared" si="56"/>
        <v>0.73684210526315841</v>
      </c>
      <c r="Y108" s="70">
        <f t="shared" si="57"/>
        <v>0.56140350877193024</v>
      </c>
      <c r="Z108" s="70">
        <f t="shared" si="58"/>
        <v>1.052631578947369</v>
      </c>
      <c r="AA108" s="70">
        <f t="shared" si="59"/>
        <v>0.52631578947368451</v>
      </c>
      <c r="AB108" s="70">
        <f t="shared" si="60"/>
        <v>0.73684210526315841</v>
      </c>
      <c r="AC108" s="70">
        <f t="shared" si="61"/>
        <v>0.21052631578947367</v>
      </c>
      <c r="AD108" s="71">
        <f t="shared" si="62"/>
        <v>0.63157894736842146</v>
      </c>
      <c r="AE108" s="72">
        <f t="shared" si="63"/>
        <v>0.6</v>
      </c>
      <c r="AF108" s="72">
        <f t="shared" ca="1" si="64"/>
        <v>0.7</v>
      </c>
      <c r="AG108" s="73">
        <f t="shared" ca="1" si="65"/>
        <v>0.6333333333333333</v>
      </c>
      <c r="AH108" s="456">
        <f t="shared" si="66"/>
        <v>5.403508771929828</v>
      </c>
      <c r="AI108" s="467">
        <f t="shared" ca="1" si="67"/>
        <v>34.222222222222243</v>
      </c>
      <c r="AJ108" s="458" t="str">
        <f t="shared" ca="1" si="68"/>
        <v>Q4</v>
      </c>
      <c r="AK108" s="93" t="s">
        <v>360</v>
      </c>
      <c r="AL108" s="110"/>
      <c r="AM108" s="117"/>
      <c r="AN108" s="113"/>
      <c r="AO108" s="113"/>
      <c r="AP108" s="113"/>
      <c r="AQ108" s="121"/>
      <c r="AR108" s="436"/>
      <c r="AS108" s="437"/>
      <c r="AT108" s="437"/>
      <c r="AU108" s="437"/>
      <c r="AV108" s="437"/>
      <c r="AW108" s="94"/>
    </row>
    <row r="109" spans="1:49" s="228" customFormat="1" ht="36" customHeight="1">
      <c r="A109" s="5"/>
      <c r="B109" s="625">
        <v>198</v>
      </c>
      <c r="C109" s="6" t="s">
        <v>8</v>
      </c>
      <c r="D109" s="371" t="s">
        <v>7</v>
      </c>
      <c r="E109" s="18" t="s">
        <v>245</v>
      </c>
      <c r="F109" s="19" t="s">
        <v>1379</v>
      </c>
      <c r="G109" s="20" t="s">
        <v>246</v>
      </c>
      <c r="H109" s="603">
        <v>101637</v>
      </c>
      <c r="I109" s="50">
        <v>2</v>
      </c>
      <c r="J109" s="55">
        <v>0</v>
      </c>
      <c r="K109" s="49"/>
      <c r="L109" s="56"/>
      <c r="M109" s="61">
        <v>2</v>
      </c>
      <c r="N109" s="62">
        <v>4</v>
      </c>
      <c r="O109" s="62">
        <v>4.0000000000000027</v>
      </c>
      <c r="P109" s="62">
        <v>8.0000000000000053</v>
      </c>
      <c r="Q109" s="62">
        <v>8.0000000000000053</v>
      </c>
      <c r="R109" s="62">
        <v>1</v>
      </c>
      <c r="S109" s="62">
        <v>0</v>
      </c>
      <c r="T109" s="63">
        <v>4.0000000000000027</v>
      </c>
      <c r="U109" s="66" t="e">
        <f t="shared" ca="1" si="53"/>
        <v>#DIV/0!</v>
      </c>
      <c r="V109" s="66">
        <f t="shared" ca="1" si="54"/>
        <v>0</v>
      </c>
      <c r="W109" s="70">
        <f t="shared" si="55"/>
        <v>0.31578947368421051</v>
      </c>
      <c r="X109" s="70">
        <f t="shared" si="56"/>
        <v>0.42105263157894735</v>
      </c>
      <c r="Y109" s="70">
        <f t="shared" si="57"/>
        <v>0.56140350877193024</v>
      </c>
      <c r="Z109" s="70">
        <f t="shared" si="58"/>
        <v>1.4035087719298256</v>
      </c>
      <c r="AA109" s="70">
        <f t="shared" si="59"/>
        <v>0.7017543859649128</v>
      </c>
      <c r="AB109" s="70">
        <f t="shared" si="60"/>
        <v>0.12280701754385964</v>
      </c>
      <c r="AC109" s="70">
        <f t="shared" si="61"/>
        <v>0</v>
      </c>
      <c r="AD109" s="71">
        <f t="shared" si="62"/>
        <v>0.42105263157894762</v>
      </c>
      <c r="AE109" s="72">
        <f t="shared" si="63"/>
        <v>0.8</v>
      </c>
      <c r="AF109" s="72">
        <f t="shared" ca="1" si="64"/>
        <v>1</v>
      </c>
      <c r="AG109" s="73">
        <f t="shared" ca="1" si="65"/>
        <v>0.8666666666666667</v>
      </c>
      <c r="AH109" s="456">
        <f t="shared" si="66"/>
        <v>3.9473684210526336</v>
      </c>
      <c r="AI109" s="467">
        <f t="shared" ca="1" si="67"/>
        <v>34.210526315789494</v>
      </c>
      <c r="AJ109" s="458" t="str">
        <f t="shared" ca="1" si="68"/>
        <v>Q2</v>
      </c>
      <c r="AK109" s="95" t="s">
        <v>360</v>
      </c>
      <c r="AL109" s="573"/>
      <c r="AM109" s="117"/>
      <c r="AN109" s="113"/>
      <c r="AO109" s="113"/>
      <c r="AP109" s="113"/>
      <c r="AQ109" s="121"/>
      <c r="AR109" s="436"/>
      <c r="AS109" s="437"/>
      <c r="AT109" s="437"/>
      <c r="AU109" s="437"/>
      <c r="AV109" s="437"/>
      <c r="AW109" s="94"/>
    </row>
    <row r="110" spans="1:49" s="310" customFormat="1" ht="36" customHeight="1">
      <c r="A110" s="5">
        <v>83</v>
      </c>
      <c r="B110" s="625">
        <v>200</v>
      </c>
      <c r="C110" s="6" t="s">
        <v>18</v>
      </c>
      <c r="D110" s="371" t="s">
        <v>7</v>
      </c>
      <c r="E110" s="18" t="s">
        <v>1361</v>
      </c>
      <c r="F110" s="20" t="s">
        <v>1362</v>
      </c>
      <c r="G110" s="20" t="s">
        <v>146</v>
      </c>
      <c r="H110" s="603">
        <v>142000</v>
      </c>
      <c r="I110" s="50">
        <v>3</v>
      </c>
      <c r="J110" s="55">
        <v>0.3</v>
      </c>
      <c r="K110" s="49"/>
      <c r="L110" s="56"/>
      <c r="M110" s="61">
        <v>4</v>
      </c>
      <c r="N110" s="62">
        <v>6.0000000000000036</v>
      </c>
      <c r="O110" s="62">
        <v>1</v>
      </c>
      <c r="P110" s="62">
        <v>9.0000000000000018</v>
      </c>
      <c r="Q110" s="62">
        <v>6.0000000000000036</v>
      </c>
      <c r="R110" s="62">
        <v>5.0000000000000027</v>
      </c>
      <c r="S110" s="62">
        <v>0</v>
      </c>
      <c r="T110" s="63">
        <v>7.0000000000000044</v>
      </c>
      <c r="U110" s="66" t="e">
        <f t="shared" ca="1" si="53"/>
        <v>#DIV/0!</v>
      </c>
      <c r="V110" s="66">
        <f t="shared" ca="1" si="54"/>
        <v>0.3</v>
      </c>
      <c r="W110" s="70">
        <f t="shared" si="55"/>
        <v>0.63157894736842102</v>
      </c>
      <c r="X110" s="70">
        <f t="shared" si="56"/>
        <v>0.63157894736842146</v>
      </c>
      <c r="Y110" s="70">
        <f t="shared" si="57"/>
        <v>0.14035087719298245</v>
      </c>
      <c r="Z110" s="70">
        <f t="shared" si="58"/>
        <v>1.5789473684210529</v>
      </c>
      <c r="AA110" s="70">
        <f t="shared" si="59"/>
        <v>0.52631578947368451</v>
      </c>
      <c r="AB110" s="70">
        <f t="shared" si="60"/>
        <v>0.6140350877192986</v>
      </c>
      <c r="AC110" s="70">
        <f t="shared" si="61"/>
        <v>0</v>
      </c>
      <c r="AD110" s="71">
        <f t="shared" si="62"/>
        <v>0.73684210526315841</v>
      </c>
      <c r="AE110" s="72">
        <f t="shared" si="63"/>
        <v>0.7</v>
      </c>
      <c r="AF110" s="72">
        <f t="shared" ca="1" si="64"/>
        <v>0.7</v>
      </c>
      <c r="AG110" s="73">
        <f t="shared" ca="1" si="65"/>
        <v>0.69999999999999984</v>
      </c>
      <c r="AH110" s="456">
        <f t="shared" si="66"/>
        <v>4.8596491228070189</v>
      </c>
      <c r="AI110" s="467">
        <f t="shared" ca="1" si="67"/>
        <v>34.017543859649123</v>
      </c>
      <c r="AJ110" s="458" t="str">
        <f t="shared" ca="1" si="68"/>
        <v>Q4</v>
      </c>
      <c r="AK110" s="95" t="s">
        <v>360</v>
      </c>
      <c r="AL110" s="111"/>
      <c r="AM110" s="117"/>
      <c r="AN110" s="113"/>
      <c r="AO110" s="463"/>
      <c r="AP110" s="113"/>
      <c r="AQ110" s="121"/>
      <c r="AR110" s="436"/>
      <c r="AS110" s="437"/>
      <c r="AT110" s="437"/>
      <c r="AU110" s="437"/>
      <c r="AV110" s="437"/>
      <c r="AW110" s="94"/>
    </row>
    <row r="111" spans="1:49" s="310" customFormat="1" ht="36" customHeight="1">
      <c r="A111" s="5">
        <v>84</v>
      </c>
      <c r="B111" s="625">
        <v>201</v>
      </c>
      <c r="C111" s="6" t="s">
        <v>8</v>
      </c>
      <c r="D111" s="371" t="s">
        <v>7</v>
      </c>
      <c r="E111" s="7" t="s">
        <v>197</v>
      </c>
      <c r="F111" s="9" t="s">
        <v>1364</v>
      </c>
      <c r="G111" s="8"/>
      <c r="H111" s="608">
        <v>100000</v>
      </c>
      <c r="I111" s="49">
        <v>2</v>
      </c>
      <c r="J111" s="55">
        <v>0.2</v>
      </c>
      <c r="K111" s="49"/>
      <c r="L111" s="56"/>
      <c r="M111" s="61">
        <v>2</v>
      </c>
      <c r="N111" s="62">
        <v>5</v>
      </c>
      <c r="O111" s="62">
        <v>4</v>
      </c>
      <c r="P111" s="62">
        <v>8</v>
      </c>
      <c r="Q111" s="62">
        <v>6</v>
      </c>
      <c r="R111" s="62">
        <v>4.0000000000000027</v>
      </c>
      <c r="S111" s="62">
        <v>0</v>
      </c>
      <c r="T111" s="63">
        <v>4.0000000000000027</v>
      </c>
      <c r="U111" s="66" t="e">
        <f t="shared" ca="1" si="53"/>
        <v>#DIV/0!</v>
      </c>
      <c r="V111" s="66">
        <f t="shared" ca="1" si="54"/>
        <v>0.2</v>
      </c>
      <c r="W111" s="70">
        <f t="shared" si="55"/>
        <v>0.31578947368421051</v>
      </c>
      <c r="X111" s="70">
        <f t="shared" si="56"/>
        <v>0.52631578947368418</v>
      </c>
      <c r="Y111" s="70">
        <f t="shared" si="57"/>
        <v>0.56140350877192979</v>
      </c>
      <c r="Z111" s="70">
        <f t="shared" si="58"/>
        <v>1.4035087719298245</v>
      </c>
      <c r="AA111" s="70">
        <f t="shared" si="59"/>
        <v>0.52631578947368418</v>
      </c>
      <c r="AB111" s="70">
        <f t="shared" si="60"/>
        <v>0.4912280701754389</v>
      </c>
      <c r="AC111" s="70">
        <f t="shared" si="61"/>
        <v>0</v>
      </c>
      <c r="AD111" s="71">
        <f t="shared" si="62"/>
        <v>0.42105263157894762</v>
      </c>
      <c r="AE111" s="72">
        <f t="shared" si="63"/>
        <v>0.8</v>
      </c>
      <c r="AF111" s="72">
        <f t="shared" ca="1" si="64"/>
        <v>0.8</v>
      </c>
      <c r="AG111" s="73">
        <f t="shared" ca="1" si="65"/>
        <v>0.80000000000000016</v>
      </c>
      <c r="AH111" s="456">
        <f t="shared" si="66"/>
        <v>4.2456140350877192</v>
      </c>
      <c r="AI111" s="467">
        <f t="shared" ca="1" si="67"/>
        <v>33.96491228070176</v>
      </c>
      <c r="AJ111" s="458" t="str">
        <f t="shared" ca="1" si="68"/>
        <v>Q2</v>
      </c>
      <c r="AK111" s="93" t="s">
        <v>360</v>
      </c>
      <c r="AL111" s="110"/>
      <c r="AM111" s="117"/>
      <c r="AN111" s="113"/>
      <c r="AO111" s="463"/>
      <c r="AP111" s="113"/>
      <c r="AQ111" s="121"/>
      <c r="AR111" s="436"/>
      <c r="AS111" s="437"/>
      <c r="AT111" s="437"/>
      <c r="AU111" s="437"/>
      <c r="AV111" s="437"/>
      <c r="AW111" s="94"/>
    </row>
    <row r="112" spans="1:49" ht="36" customHeight="1">
      <c r="A112" s="5"/>
      <c r="B112" s="625">
        <v>202</v>
      </c>
      <c r="C112" s="6" t="s">
        <v>6</v>
      </c>
      <c r="D112" s="371" t="s">
        <v>7</v>
      </c>
      <c r="E112" s="7" t="s">
        <v>436</v>
      </c>
      <c r="F112" s="9" t="s">
        <v>1363</v>
      </c>
      <c r="G112" s="8"/>
      <c r="H112" s="600">
        <v>220000</v>
      </c>
      <c r="I112" s="49">
        <v>4</v>
      </c>
      <c r="J112" s="55">
        <v>0.2</v>
      </c>
      <c r="K112" s="49"/>
      <c r="L112" s="56"/>
      <c r="M112" s="61">
        <v>6</v>
      </c>
      <c r="N112" s="62">
        <v>8.0000000000000053</v>
      </c>
      <c r="O112" s="62">
        <v>3</v>
      </c>
      <c r="P112" s="62">
        <v>6.0000000000000036</v>
      </c>
      <c r="Q112" s="62">
        <v>0</v>
      </c>
      <c r="R112" s="62">
        <v>8</v>
      </c>
      <c r="S112" s="62">
        <v>0</v>
      </c>
      <c r="T112" s="63">
        <v>8</v>
      </c>
      <c r="U112" s="66" t="e">
        <f t="shared" ca="1" si="53"/>
        <v>#DIV/0!</v>
      </c>
      <c r="V112" s="66">
        <f t="shared" ca="1" si="54"/>
        <v>0.2</v>
      </c>
      <c r="W112" s="70">
        <f t="shared" si="55"/>
        <v>0.94736842105263153</v>
      </c>
      <c r="X112" s="70">
        <f t="shared" si="56"/>
        <v>0.84210526315789525</v>
      </c>
      <c r="Y112" s="70">
        <f t="shared" si="57"/>
        <v>0.42105263157894735</v>
      </c>
      <c r="Z112" s="70">
        <f t="shared" si="58"/>
        <v>1.052631578947369</v>
      </c>
      <c r="AA112" s="70">
        <f t="shared" si="59"/>
        <v>0</v>
      </c>
      <c r="AB112" s="70">
        <f t="shared" si="60"/>
        <v>0.98245614035087714</v>
      </c>
      <c r="AC112" s="70">
        <f t="shared" si="61"/>
        <v>0</v>
      </c>
      <c r="AD112" s="71">
        <f t="shared" si="62"/>
        <v>0.84210526315789469</v>
      </c>
      <c r="AE112" s="72">
        <f t="shared" si="63"/>
        <v>0.6</v>
      </c>
      <c r="AF112" s="72">
        <f t="shared" ca="1" si="64"/>
        <v>0.8</v>
      </c>
      <c r="AG112" s="73">
        <f t="shared" ca="1" si="65"/>
        <v>0.66666666666666663</v>
      </c>
      <c r="AH112" s="456">
        <f t="shared" si="66"/>
        <v>5.0877192982456156</v>
      </c>
      <c r="AI112" s="467">
        <f t="shared" ca="1" si="67"/>
        <v>33.918128654970772</v>
      </c>
      <c r="AJ112" s="458" t="str">
        <f t="shared" ca="1" si="68"/>
        <v>Q4</v>
      </c>
      <c r="AK112" s="93" t="s">
        <v>360</v>
      </c>
      <c r="AL112" s="571"/>
      <c r="AM112" s="117"/>
      <c r="AN112" s="113"/>
      <c r="AO112" s="113"/>
      <c r="AP112" s="113"/>
      <c r="AQ112" s="121"/>
      <c r="AR112" s="438"/>
      <c r="AS112" s="437"/>
      <c r="AT112" s="437"/>
      <c r="AU112" s="437"/>
      <c r="AV112" s="437"/>
      <c r="AW112" s="94"/>
    </row>
    <row r="113" spans="1:49" ht="36" customHeight="1">
      <c r="A113" s="5">
        <v>359</v>
      </c>
      <c r="B113" s="625">
        <v>203</v>
      </c>
      <c r="C113" s="6" t="s">
        <v>20</v>
      </c>
      <c r="D113" s="371" t="s">
        <v>418</v>
      </c>
      <c r="E113" s="21" t="s">
        <v>21</v>
      </c>
      <c r="F113" s="13" t="s">
        <v>1423</v>
      </c>
      <c r="G113" s="128" t="s">
        <v>22</v>
      </c>
      <c r="H113" s="603">
        <v>172000</v>
      </c>
      <c r="I113" s="50">
        <v>5</v>
      </c>
      <c r="J113" s="55">
        <v>0.25</v>
      </c>
      <c r="K113" s="49"/>
      <c r="L113" s="56"/>
      <c r="M113" s="61">
        <v>7.0000000000000044</v>
      </c>
      <c r="N113" s="62">
        <v>7.0000000000000044</v>
      </c>
      <c r="O113" s="62">
        <v>6.0000000000000036</v>
      </c>
      <c r="P113" s="62">
        <v>5</v>
      </c>
      <c r="Q113" s="62">
        <v>5</v>
      </c>
      <c r="R113" s="62">
        <v>7</v>
      </c>
      <c r="S113" s="62">
        <v>1</v>
      </c>
      <c r="T113" s="63">
        <v>8.0000000000000053</v>
      </c>
      <c r="U113" s="66" t="e">
        <f t="shared" ca="1" si="53"/>
        <v>#DIV/0!</v>
      </c>
      <c r="V113" s="66">
        <f t="shared" ca="1" si="54"/>
        <v>0.25</v>
      </c>
      <c r="W113" s="70">
        <f t="shared" si="55"/>
        <v>1.1052631578947376</v>
      </c>
      <c r="X113" s="70">
        <f t="shared" si="56"/>
        <v>0.73684210526315841</v>
      </c>
      <c r="Y113" s="70">
        <f t="shared" si="57"/>
        <v>0.84210526315789525</v>
      </c>
      <c r="Z113" s="70">
        <f t="shared" si="58"/>
        <v>0.8771929824561403</v>
      </c>
      <c r="AA113" s="70">
        <f t="shared" si="59"/>
        <v>0.43859649122807015</v>
      </c>
      <c r="AB113" s="70">
        <f t="shared" si="60"/>
        <v>0.85964912280701755</v>
      </c>
      <c r="AC113" s="70">
        <f t="shared" si="61"/>
        <v>0.10526315789473684</v>
      </c>
      <c r="AD113" s="71">
        <f t="shared" si="62"/>
        <v>0.84210526315789525</v>
      </c>
      <c r="AE113" s="72">
        <f t="shared" si="63"/>
        <v>0.5</v>
      </c>
      <c r="AF113" s="72">
        <f t="shared" ca="1" si="64"/>
        <v>0.75</v>
      </c>
      <c r="AG113" s="73">
        <f t="shared" ca="1" si="65"/>
        <v>0.58333333333333337</v>
      </c>
      <c r="AH113" s="456">
        <f t="shared" si="66"/>
        <v>5.8070175438596516</v>
      </c>
      <c r="AI113" s="467">
        <f t="shared" ca="1" si="67"/>
        <v>33.874269005847971</v>
      </c>
      <c r="AJ113" s="458" t="str">
        <f t="shared" ca="1" si="68"/>
        <v>Q4</v>
      </c>
      <c r="AK113" s="95" t="s">
        <v>360</v>
      </c>
      <c r="AL113" s="111"/>
      <c r="AM113" s="117"/>
      <c r="AN113" s="113"/>
      <c r="AO113" s="113"/>
      <c r="AP113" s="113"/>
      <c r="AQ113" s="121"/>
      <c r="AR113" s="436"/>
      <c r="AS113" s="437"/>
      <c r="AT113" s="437"/>
      <c r="AU113" s="437"/>
      <c r="AV113" s="437"/>
      <c r="AW113" s="94"/>
    </row>
    <row r="114" spans="1:49" ht="36" customHeight="1">
      <c r="A114" s="5"/>
      <c r="B114" s="625">
        <v>207</v>
      </c>
      <c r="C114" s="6" t="s">
        <v>18</v>
      </c>
      <c r="D114" s="371" t="s">
        <v>416</v>
      </c>
      <c r="E114" s="12" t="s">
        <v>452</v>
      </c>
      <c r="F114" s="13" t="s">
        <v>1284</v>
      </c>
      <c r="G114" s="20"/>
      <c r="H114" s="603">
        <v>1925000</v>
      </c>
      <c r="I114" s="50">
        <v>3</v>
      </c>
      <c r="J114" s="55">
        <v>0.3</v>
      </c>
      <c r="K114" s="49"/>
      <c r="L114" s="56"/>
      <c r="M114" s="61">
        <v>6</v>
      </c>
      <c r="N114" s="62">
        <v>8</v>
      </c>
      <c r="O114" s="62">
        <v>2</v>
      </c>
      <c r="P114" s="62">
        <v>4</v>
      </c>
      <c r="Q114" s="62">
        <v>0</v>
      </c>
      <c r="R114" s="62">
        <v>8</v>
      </c>
      <c r="S114" s="62">
        <v>0</v>
      </c>
      <c r="T114" s="63">
        <v>10</v>
      </c>
      <c r="U114" s="66" t="e">
        <f t="shared" ca="1" si="53"/>
        <v>#DIV/0!</v>
      </c>
      <c r="V114" s="66">
        <f t="shared" ca="1" si="54"/>
        <v>0.3</v>
      </c>
      <c r="W114" s="70">
        <f t="shared" si="55"/>
        <v>0.94736842105263153</v>
      </c>
      <c r="X114" s="70">
        <f t="shared" si="56"/>
        <v>0.84210526315789469</v>
      </c>
      <c r="Y114" s="70">
        <f t="shared" si="57"/>
        <v>0.2807017543859649</v>
      </c>
      <c r="Z114" s="70">
        <f t="shared" si="58"/>
        <v>0.70175438596491224</v>
      </c>
      <c r="AA114" s="70">
        <f t="shared" si="59"/>
        <v>0</v>
      </c>
      <c r="AB114" s="70">
        <f t="shared" si="60"/>
        <v>0.98245614035087714</v>
      </c>
      <c r="AC114" s="70">
        <f t="shared" si="61"/>
        <v>0</v>
      </c>
      <c r="AD114" s="71">
        <f t="shared" si="62"/>
        <v>1.0526315789473684</v>
      </c>
      <c r="AE114" s="72">
        <f t="shared" si="63"/>
        <v>0.7</v>
      </c>
      <c r="AF114" s="72">
        <f t="shared" ca="1" si="64"/>
        <v>0.7</v>
      </c>
      <c r="AG114" s="73">
        <f t="shared" ca="1" si="65"/>
        <v>0.69999999999999984</v>
      </c>
      <c r="AH114" s="456">
        <f t="shared" si="66"/>
        <v>4.807017543859649</v>
      </c>
      <c r="AI114" s="467">
        <f t="shared" ca="1" si="67"/>
        <v>33.649122807017534</v>
      </c>
      <c r="AJ114" s="458" t="str">
        <f t="shared" ca="1" si="68"/>
        <v>Q4</v>
      </c>
      <c r="AK114" s="373" t="s">
        <v>360</v>
      </c>
      <c r="AL114" s="111"/>
      <c r="AM114" s="117"/>
      <c r="AN114" s="113"/>
      <c r="AO114" s="123"/>
      <c r="AP114" s="113"/>
      <c r="AQ114" s="121"/>
      <c r="AR114" s="436"/>
      <c r="AS114" s="437"/>
      <c r="AT114" s="437"/>
      <c r="AU114" s="437"/>
      <c r="AV114" s="437"/>
      <c r="AW114" s="94"/>
    </row>
    <row r="115" spans="1:49" ht="36" customHeight="1">
      <c r="A115" s="5">
        <v>124</v>
      </c>
      <c r="B115" s="625">
        <v>208</v>
      </c>
      <c r="C115" s="6" t="s">
        <v>18</v>
      </c>
      <c r="D115" s="371" t="s">
        <v>7</v>
      </c>
      <c r="E115" s="18" t="s">
        <v>159</v>
      </c>
      <c r="F115" s="19" t="s">
        <v>1371</v>
      </c>
      <c r="G115" s="20" t="s">
        <v>160</v>
      </c>
      <c r="H115" s="603">
        <v>84000</v>
      </c>
      <c r="I115" s="50">
        <v>4</v>
      </c>
      <c r="J115" s="55">
        <v>0.5</v>
      </c>
      <c r="K115" s="49"/>
      <c r="L115" s="56"/>
      <c r="M115" s="61">
        <v>8.0000000000000053</v>
      </c>
      <c r="N115" s="62">
        <v>6.0000000000000036</v>
      </c>
      <c r="O115" s="62">
        <v>4.0000000000000027</v>
      </c>
      <c r="P115" s="62">
        <v>8.0000000000000053</v>
      </c>
      <c r="Q115" s="62">
        <v>6.0000000000000036</v>
      </c>
      <c r="R115" s="62">
        <v>4.0000000000000027</v>
      </c>
      <c r="S115" s="62">
        <v>2</v>
      </c>
      <c r="T115" s="63">
        <v>8.0000000000000053</v>
      </c>
      <c r="U115" s="66" t="e">
        <f t="shared" ca="1" si="53"/>
        <v>#DIV/0!</v>
      </c>
      <c r="V115" s="66">
        <f t="shared" ca="1" si="54"/>
        <v>0.5</v>
      </c>
      <c r="W115" s="70">
        <f t="shared" si="55"/>
        <v>1.2631578947368429</v>
      </c>
      <c r="X115" s="70">
        <f t="shared" si="56"/>
        <v>0.63157894736842146</v>
      </c>
      <c r="Y115" s="70">
        <f t="shared" si="57"/>
        <v>0.56140350877193024</v>
      </c>
      <c r="Z115" s="70">
        <f t="shared" si="58"/>
        <v>1.4035087719298256</v>
      </c>
      <c r="AA115" s="70">
        <f t="shared" si="59"/>
        <v>0.52631578947368451</v>
      </c>
      <c r="AB115" s="70">
        <f t="shared" si="60"/>
        <v>0.4912280701754389</v>
      </c>
      <c r="AC115" s="70">
        <f t="shared" si="61"/>
        <v>0.21052631578947367</v>
      </c>
      <c r="AD115" s="71">
        <f t="shared" si="62"/>
        <v>0.84210526315789525</v>
      </c>
      <c r="AE115" s="72">
        <f t="shared" si="63"/>
        <v>0.6</v>
      </c>
      <c r="AF115" s="72">
        <f t="shared" ca="1" si="64"/>
        <v>0.5</v>
      </c>
      <c r="AG115" s="73">
        <f t="shared" ca="1" si="65"/>
        <v>0.56666666666666665</v>
      </c>
      <c r="AH115" s="456">
        <f t="shared" si="66"/>
        <v>5.9298245614035121</v>
      </c>
      <c r="AI115" s="467">
        <f t="shared" ca="1" si="67"/>
        <v>33.602339181286567</v>
      </c>
      <c r="AJ115" s="458" t="str">
        <f t="shared" ca="1" si="68"/>
        <v>Q4</v>
      </c>
      <c r="AK115" s="95" t="s">
        <v>360</v>
      </c>
      <c r="AL115" s="111"/>
      <c r="AM115" s="117"/>
      <c r="AN115" s="113"/>
      <c r="AO115" s="113"/>
      <c r="AP115" s="113"/>
      <c r="AQ115" s="121"/>
      <c r="AR115" s="436"/>
      <c r="AS115" s="437"/>
      <c r="AT115" s="437"/>
      <c r="AU115" s="437"/>
      <c r="AV115" s="437"/>
      <c r="AW115" s="94"/>
    </row>
    <row r="116" spans="1:49" ht="36" customHeight="1">
      <c r="A116" s="5">
        <v>283</v>
      </c>
      <c r="B116" s="625">
        <v>209</v>
      </c>
      <c r="C116" s="6" t="s">
        <v>20</v>
      </c>
      <c r="D116" s="371" t="s">
        <v>7</v>
      </c>
      <c r="E116" s="18" t="s">
        <v>128</v>
      </c>
      <c r="F116" s="20" t="s">
        <v>129</v>
      </c>
      <c r="G116" s="20" t="s">
        <v>130</v>
      </c>
      <c r="H116" s="603">
        <v>103000</v>
      </c>
      <c r="I116" s="50">
        <v>4</v>
      </c>
      <c r="J116" s="55">
        <v>0.2</v>
      </c>
      <c r="K116" s="49"/>
      <c r="L116" s="56"/>
      <c r="M116" s="61">
        <v>8.0000000000000053</v>
      </c>
      <c r="N116" s="62">
        <v>1</v>
      </c>
      <c r="O116" s="62">
        <v>7.0000000000000044</v>
      </c>
      <c r="P116" s="62">
        <v>4.0000000000000027</v>
      </c>
      <c r="Q116" s="62">
        <v>8.0000000000000053</v>
      </c>
      <c r="R116" s="62">
        <v>1</v>
      </c>
      <c r="S116" s="62">
        <v>3</v>
      </c>
      <c r="T116" s="63">
        <v>8.0000000000000053</v>
      </c>
      <c r="U116" s="66" t="e">
        <f t="shared" ca="1" si="53"/>
        <v>#DIV/0!</v>
      </c>
      <c r="V116" s="66">
        <f t="shared" ca="1" si="54"/>
        <v>0.2</v>
      </c>
      <c r="W116" s="70">
        <f t="shared" si="55"/>
        <v>1.2631578947368429</v>
      </c>
      <c r="X116" s="70">
        <f t="shared" si="56"/>
        <v>0.10526315789473684</v>
      </c>
      <c r="Y116" s="70">
        <f t="shared" si="57"/>
        <v>0.9824561403508778</v>
      </c>
      <c r="Z116" s="70">
        <f t="shared" si="58"/>
        <v>0.7017543859649128</v>
      </c>
      <c r="AA116" s="70">
        <f t="shared" si="59"/>
        <v>0.7017543859649128</v>
      </c>
      <c r="AB116" s="70">
        <f t="shared" si="60"/>
        <v>0.12280701754385964</v>
      </c>
      <c r="AC116" s="70">
        <f t="shared" si="61"/>
        <v>0.31578947368421051</v>
      </c>
      <c r="AD116" s="71">
        <f t="shared" si="62"/>
        <v>0.84210526315789525</v>
      </c>
      <c r="AE116" s="72">
        <f t="shared" si="63"/>
        <v>0.6</v>
      </c>
      <c r="AF116" s="72">
        <f t="shared" ca="1" si="64"/>
        <v>0.8</v>
      </c>
      <c r="AG116" s="73">
        <f t="shared" ca="1" si="65"/>
        <v>0.66666666666666663</v>
      </c>
      <c r="AH116" s="456">
        <f t="shared" si="66"/>
        <v>5.0350877192982484</v>
      </c>
      <c r="AI116" s="467">
        <f t="shared" ca="1" si="67"/>
        <v>33.56725146198832</v>
      </c>
      <c r="AJ116" s="458" t="str">
        <f t="shared" ca="1" si="68"/>
        <v>Q4</v>
      </c>
      <c r="AK116" s="95" t="s">
        <v>360</v>
      </c>
      <c r="AL116" s="111"/>
      <c r="AM116" s="117"/>
      <c r="AN116" s="113"/>
      <c r="AO116" s="113"/>
      <c r="AP116" s="113"/>
      <c r="AQ116" s="121"/>
      <c r="AR116" s="436"/>
      <c r="AS116" s="437"/>
      <c r="AT116" s="437"/>
      <c r="AU116" s="437"/>
      <c r="AV116" s="437"/>
      <c r="AW116" s="94"/>
    </row>
    <row r="117" spans="1:49" ht="36" customHeight="1">
      <c r="A117" s="5">
        <v>282</v>
      </c>
      <c r="B117" s="625">
        <v>210</v>
      </c>
      <c r="C117" s="6" t="s">
        <v>6</v>
      </c>
      <c r="D117" s="371" t="s">
        <v>7</v>
      </c>
      <c r="E117" s="7" t="s">
        <v>145</v>
      </c>
      <c r="F117" s="9" t="s">
        <v>1466</v>
      </c>
      <c r="G117" s="8"/>
      <c r="H117" s="600">
        <v>210000</v>
      </c>
      <c r="I117" s="49">
        <v>4</v>
      </c>
      <c r="J117" s="55">
        <v>0.3</v>
      </c>
      <c r="K117" s="49"/>
      <c r="L117" s="56"/>
      <c r="M117" s="61">
        <v>6.0000000000000036</v>
      </c>
      <c r="N117" s="62">
        <v>7.0000000000000044</v>
      </c>
      <c r="O117" s="62">
        <v>4.0000000000000027</v>
      </c>
      <c r="P117" s="62">
        <v>6.0000000000000036</v>
      </c>
      <c r="Q117" s="62">
        <v>6.0000000000000036</v>
      </c>
      <c r="R117" s="62">
        <v>6.0000000000000036</v>
      </c>
      <c r="S117" s="62">
        <v>1</v>
      </c>
      <c r="T117" s="63">
        <v>6.0000000000000036</v>
      </c>
      <c r="U117" s="66" t="e">
        <f t="shared" ca="1" si="53"/>
        <v>#DIV/0!</v>
      </c>
      <c r="V117" s="66">
        <f t="shared" ca="1" si="54"/>
        <v>0.3</v>
      </c>
      <c r="W117" s="70">
        <f t="shared" si="55"/>
        <v>0.94736842105263208</v>
      </c>
      <c r="X117" s="70">
        <f t="shared" si="56"/>
        <v>0.73684210526315841</v>
      </c>
      <c r="Y117" s="70">
        <f t="shared" si="57"/>
        <v>0.56140350877193024</v>
      </c>
      <c r="Z117" s="70">
        <f t="shared" si="58"/>
        <v>1.052631578947369</v>
      </c>
      <c r="AA117" s="70">
        <f t="shared" si="59"/>
        <v>0.52631578947368451</v>
      </c>
      <c r="AB117" s="70">
        <f t="shared" si="60"/>
        <v>0.73684210526315841</v>
      </c>
      <c r="AC117" s="70">
        <f t="shared" si="61"/>
        <v>0.10526315789473684</v>
      </c>
      <c r="AD117" s="71">
        <f t="shared" si="62"/>
        <v>0.63157894736842146</v>
      </c>
      <c r="AE117" s="72">
        <f t="shared" si="63"/>
        <v>0.6</v>
      </c>
      <c r="AF117" s="72">
        <f t="shared" ca="1" si="64"/>
        <v>0.7</v>
      </c>
      <c r="AG117" s="73">
        <f t="shared" ca="1" si="65"/>
        <v>0.6333333333333333</v>
      </c>
      <c r="AH117" s="456">
        <f t="shared" si="66"/>
        <v>5.2982456140350918</v>
      </c>
      <c r="AI117" s="467">
        <f t="shared" ca="1" si="67"/>
        <v>33.555555555555578</v>
      </c>
      <c r="AJ117" s="458" t="str">
        <f t="shared" ca="1" si="68"/>
        <v>Q4</v>
      </c>
      <c r="AK117" s="93" t="s">
        <v>360</v>
      </c>
      <c r="AL117" s="110"/>
      <c r="AM117" s="117"/>
      <c r="AN117" s="113"/>
      <c r="AO117" s="113"/>
      <c r="AP117" s="113"/>
      <c r="AQ117" s="121"/>
      <c r="AR117" s="436"/>
      <c r="AS117" s="437"/>
      <c r="AT117" s="437"/>
      <c r="AU117" s="437"/>
      <c r="AV117" s="437"/>
      <c r="AW117" s="94"/>
    </row>
    <row r="118" spans="1:49" ht="36" customHeight="1">
      <c r="A118" s="5">
        <v>171</v>
      </c>
      <c r="B118" s="625">
        <v>211</v>
      </c>
      <c r="C118" s="6" t="s">
        <v>18</v>
      </c>
      <c r="D118" s="371" t="s">
        <v>7</v>
      </c>
      <c r="E118" s="18" t="s">
        <v>142</v>
      </c>
      <c r="F118" s="20" t="s">
        <v>143</v>
      </c>
      <c r="G118" s="20" t="s">
        <v>144</v>
      </c>
      <c r="H118" s="603">
        <v>108000</v>
      </c>
      <c r="I118" s="50">
        <v>4</v>
      </c>
      <c r="J118" s="55">
        <v>0.3</v>
      </c>
      <c r="K118" s="49"/>
      <c r="L118" s="56"/>
      <c r="M118" s="61">
        <v>6.0000000000000036</v>
      </c>
      <c r="N118" s="62">
        <v>6.0000000000000036</v>
      </c>
      <c r="O118" s="62">
        <v>4.0000000000000027</v>
      </c>
      <c r="P118" s="62">
        <v>8.0000000000000053</v>
      </c>
      <c r="Q118" s="62">
        <v>6.0000000000000036</v>
      </c>
      <c r="R118" s="62">
        <v>4.0000000000000027</v>
      </c>
      <c r="S118" s="62">
        <v>1</v>
      </c>
      <c r="T118" s="63">
        <v>6.0000000000000036</v>
      </c>
      <c r="U118" s="66" t="e">
        <f t="shared" ca="1" si="53"/>
        <v>#DIV/0!</v>
      </c>
      <c r="V118" s="66">
        <f t="shared" ca="1" si="54"/>
        <v>0.3</v>
      </c>
      <c r="W118" s="70">
        <f t="shared" si="55"/>
        <v>0.94736842105263208</v>
      </c>
      <c r="X118" s="70">
        <f t="shared" si="56"/>
        <v>0.63157894736842146</v>
      </c>
      <c r="Y118" s="70">
        <f t="shared" si="57"/>
        <v>0.56140350877193024</v>
      </c>
      <c r="Z118" s="70">
        <f t="shared" si="58"/>
        <v>1.4035087719298256</v>
      </c>
      <c r="AA118" s="70">
        <f t="shared" si="59"/>
        <v>0.52631578947368451</v>
      </c>
      <c r="AB118" s="70">
        <f t="shared" si="60"/>
        <v>0.4912280701754389</v>
      </c>
      <c r="AC118" s="70">
        <f t="shared" si="61"/>
        <v>0.10526315789473684</v>
      </c>
      <c r="AD118" s="71">
        <f t="shared" si="62"/>
        <v>0.63157894736842146</v>
      </c>
      <c r="AE118" s="72">
        <f t="shared" si="63"/>
        <v>0.6</v>
      </c>
      <c r="AF118" s="72">
        <f t="shared" ca="1" si="64"/>
        <v>0.7</v>
      </c>
      <c r="AG118" s="73">
        <f t="shared" ca="1" si="65"/>
        <v>0.6333333333333333</v>
      </c>
      <c r="AH118" s="456">
        <f t="shared" si="66"/>
        <v>5.2982456140350909</v>
      </c>
      <c r="AI118" s="467">
        <f t="shared" ca="1" si="67"/>
        <v>33.555555555555571</v>
      </c>
      <c r="AJ118" s="458" t="str">
        <f t="shared" ca="1" si="68"/>
        <v>Q4</v>
      </c>
      <c r="AK118" s="95" t="s">
        <v>360</v>
      </c>
      <c r="AL118" s="111"/>
      <c r="AM118" s="117"/>
      <c r="AN118" s="113"/>
      <c r="AO118" s="113"/>
      <c r="AP118" s="113"/>
      <c r="AQ118" s="121"/>
      <c r="AR118" s="436"/>
      <c r="AS118" s="437"/>
      <c r="AT118" s="437"/>
      <c r="AU118" s="437"/>
      <c r="AV118" s="437"/>
      <c r="AW118" s="94"/>
    </row>
    <row r="119" spans="1:49" ht="36" customHeight="1">
      <c r="A119" s="5"/>
      <c r="B119" s="625">
        <v>214</v>
      </c>
      <c r="C119" s="6" t="s">
        <v>28</v>
      </c>
      <c r="D119" s="371" t="s">
        <v>1334</v>
      </c>
      <c r="E119" s="10" t="s">
        <v>90</v>
      </c>
      <c r="F119" s="11" t="s">
        <v>91</v>
      </c>
      <c r="G119" s="17" t="s">
        <v>92</v>
      </c>
      <c r="H119" s="600">
        <v>210000</v>
      </c>
      <c r="I119" s="49">
        <v>3</v>
      </c>
      <c r="J119" s="55">
        <v>0.3</v>
      </c>
      <c r="K119" s="49"/>
      <c r="L119" s="56"/>
      <c r="M119" s="61">
        <v>5</v>
      </c>
      <c r="N119" s="62">
        <v>7</v>
      </c>
      <c r="O119" s="62">
        <v>6</v>
      </c>
      <c r="P119" s="62">
        <v>4</v>
      </c>
      <c r="Q119" s="62">
        <v>3</v>
      </c>
      <c r="R119" s="62">
        <v>5</v>
      </c>
      <c r="S119" s="62">
        <v>0</v>
      </c>
      <c r="T119" s="63">
        <v>8.0000000000000053</v>
      </c>
      <c r="U119" s="66" t="e">
        <f t="shared" ca="1" si="53"/>
        <v>#DIV/0!</v>
      </c>
      <c r="V119" s="66">
        <f t="shared" ca="1" si="54"/>
        <v>0.3</v>
      </c>
      <c r="W119" s="70">
        <f t="shared" si="55"/>
        <v>0.78947368421052633</v>
      </c>
      <c r="X119" s="70">
        <f t="shared" si="56"/>
        <v>0.73684210526315785</v>
      </c>
      <c r="Y119" s="70">
        <f t="shared" si="57"/>
        <v>0.84210526315789469</v>
      </c>
      <c r="Z119" s="70">
        <f t="shared" si="58"/>
        <v>0.70175438596491224</v>
      </c>
      <c r="AA119" s="70">
        <f t="shared" si="59"/>
        <v>0.26315789473684209</v>
      </c>
      <c r="AB119" s="70">
        <f t="shared" si="60"/>
        <v>0.61403508771929827</v>
      </c>
      <c r="AC119" s="70">
        <f t="shared" si="61"/>
        <v>0</v>
      </c>
      <c r="AD119" s="71">
        <f t="shared" si="62"/>
        <v>0.84210526315789525</v>
      </c>
      <c r="AE119" s="72">
        <f t="shared" si="63"/>
        <v>0.7</v>
      </c>
      <c r="AF119" s="72">
        <f t="shared" ca="1" si="64"/>
        <v>0.7</v>
      </c>
      <c r="AG119" s="73">
        <f t="shared" ca="1" si="65"/>
        <v>0.69999999999999984</v>
      </c>
      <c r="AH119" s="456">
        <f t="shared" si="66"/>
        <v>4.7894736842105265</v>
      </c>
      <c r="AI119" s="467">
        <f t="shared" ca="1" si="67"/>
        <v>33.526315789473678</v>
      </c>
      <c r="AJ119" s="458" t="str">
        <f t="shared" ca="1" si="68"/>
        <v>Q4</v>
      </c>
      <c r="AK119" s="93" t="s">
        <v>360</v>
      </c>
      <c r="AL119" s="110"/>
      <c r="AM119" s="117"/>
      <c r="AN119" s="113"/>
      <c r="AO119" s="113"/>
      <c r="AP119" s="113"/>
      <c r="AQ119" s="121"/>
      <c r="AR119" s="436"/>
      <c r="AS119" s="437"/>
      <c r="AT119" s="437"/>
      <c r="AU119" s="437"/>
      <c r="AV119" s="437"/>
      <c r="AW119" s="94"/>
    </row>
    <row r="120" spans="1:49" ht="36" customHeight="1">
      <c r="A120" s="5">
        <v>189</v>
      </c>
      <c r="B120" s="625">
        <v>215</v>
      </c>
      <c r="C120" s="6" t="s">
        <v>20</v>
      </c>
      <c r="D120" s="371" t="s">
        <v>418</v>
      </c>
      <c r="E120" s="21" t="s">
        <v>1415</v>
      </c>
      <c r="F120" s="17" t="s">
        <v>1424</v>
      </c>
      <c r="G120" s="20"/>
      <c r="H120" s="603">
        <v>150000</v>
      </c>
      <c r="I120" s="50">
        <v>3</v>
      </c>
      <c r="J120" s="55">
        <v>0.3</v>
      </c>
      <c r="K120" s="49"/>
      <c r="L120" s="56"/>
      <c r="M120" s="61">
        <v>4</v>
      </c>
      <c r="N120" s="62">
        <v>6</v>
      </c>
      <c r="O120" s="62">
        <v>5</v>
      </c>
      <c r="P120" s="62">
        <v>6</v>
      </c>
      <c r="Q120" s="62">
        <v>6</v>
      </c>
      <c r="R120" s="62">
        <v>5</v>
      </c>
      <c r="S120" s="62">
        <v>1</v>
      </c>
      <c r="T120" s="63">
        <v>5</v>
      </c>
      <c r="U120" s="66" t="e">
        <f t="shared" ca="1" si="53"/>
        <v>#DIV/0!</v>
      </c>
      <c r="V120" s="66">
        <f t="shared" ca="1" si="54"/>
        <v>0.3</v>
      </c>
      <c r="W120" s="70">
        <f t="shared" si="55"/>
        <v>0.63157894736842102</v>
      </c>
      <c r="X120" s="70">
        <f t="shared" si="56"/>
        <v>0.63157894736842102</v>
      </c>
      <c r="Y120" s="70">
        <f t="shared" si="57"/>
        <v>0.70175438596491224</v>
      </c>
      <c r="Z120" s="70">
        <f t="shared" si="58"/>
        <v>1.0526315789473684</v>
      </c>
      <c r="AA120" s="70">
        <f t="shared" si="59"/>
        <v>0.52631578947368418</v>
      </c>
      <c r="AB120" s="70">
        <f t="shared" si="60"/>
        <v>0.61403508771929827</v>
      </c>
      <c r="AC120" s="70">
        <f t="shared" si="61"/>
        <v>0.10526315789473684</v>
      </c>
      <c r="AD120" s="71">
        <f t="shared" si="62"/>
        <v>0.52631578947368418</v>
      </c>
      <c r="AE120" s="72">
        <f t="shared" si="63"/>
        <v>0.7</v>
      </c>
      <c r="AF120" s="72">
        <f t="shared" ca="1" si="64"/>
        <v>0.7</v>
      </c>
      <c r="AG120" s="73">
        <f t="shared" ca="1" si="65"/>
        <v>0.69999999999999984</v>
      </c>
      <c r="AH120" s="456">
        <f t="shared" si="66"/>
        <v>4.7894736842105257</v>
      </c>
      <c r="AI120" s="467">
        <f t="shared" ca="1" si="67"/>
        <v>33.526315789473671</v>
      </c>
      <c r="AJ120" s="458" t="str">
        <f t="shared" ca="1" si="68"/>
        <v>Q4</v>
      </c>
      <c r="AK120" s="95" t="s">
        <v>360</v>
      </c>
      <c r="AL120" s="573"/>
      <c r="AM120" s="117"/>
      <c r="AN120" s="113"/>
      <c r="AO120" s="113"/>
      <c r="AP120" s="113"/>
      <c r="AQ120" s="121"/>
      <c r="AR120" s="436"/>
      <c r="AS120" s="437"/>
      <c r="AT120" s="437"/>
      <c r="AU120" s="437"/>
      <c r="AV120" s="437"/>
      <c r="AW120" s="94"/>
    </row>
    <row r="121" spans="1:49" ht="36" customHeight="1">
      <c r="A121" s="5"/>
      <c r="B121" s="625">
        <v>216</v>
      </c>
      <c r="C121" s="6" t="s">
        <v>12</v>
      </c>
      <c r="D121" s="371" t="s">
        <v>7</v>
      </c>
      <c r="E121" s="12" t="s">
        <v>255</v>
      </c>
      <c r="F121" s="13" t="s">
        <v>1196</v>
      </c>
      <c r="G121" s="116" t="s">
        <v>256</v>
      </c>
      <c r="H121" s="596">
        <v>7700000</v>
      </c>
      <c r="I121" s="50">
        <v>5</v>
      </c>
      <c r="J121" s="55">
        <v>0.5</v>
      </c>
      <c r="K121" s="49"/>
      <c r="L121" s="56"/>
      <c r="M121" s="61">
        <v>8.0000000000000053</v>
      </c>
      <c r="N121" s="62">
        <v>8.0000000000000053</v>
      </c>
      <c r="O121" s="62">
        <v>6</v>
      </c>
      <c r="P121" s="62">
        <v>8</v>
      </c>
      <c r="Q121" s="62">
        <v>4.0000000000000027</v>
      </c>
      <c r="R121" s="62">
        <v>6.0000000000000036</v>
      </c>
      <c r="S121" s="62">
        <v>5</v>
      </c>
      <c r="T121" s="63">
        <v>7</v>
      </c>
      <c r="U121" s="66" t="e">
        <f t="shared" ca="1" si="53"/>
        <v>#DIV/0!</v>
      </c>
      <c r="V121" s="66">
        <f t="shared" ca="1" si="54"/>
        <v>0.5</v>
      </c>
      <c r="W121" s="70">
        <f t="shared" si="55"/>
        <v>1.2631578947368429</v>
      </c>
      <c r="X121" s="70">
        <f t="shared" si="56"/>
        <v>0.84210526315789525</v>
      </c>
      <c r="Y121" s="70">
        <f t="shared" si="57"/>
        <v>0.84210526315789469</v>
      </c>
      <c r="Z121" s="70">
        <f t="shared" si="58"/>
        <v>1.4035087719298245</v>
      </c>
      <c r="AA121" s="70">
        <f t="shared" si="59"/>
        <v>0.3508771929824564</v>
      </c>
      <c r="AB121" s="70">
        <f t="shared" si="60"/>
        <v>0.73684210526315841</v>
      </c>
      <c r="AC121" s="70">
        <f t="shared" si="61"/>
        <v>0.52631578947368418</v>
      </c>
      <c r="AD121" s="71">
        <f t="shared" si="62"/>
        <v>0.73684210526315785</v>
      </c>
      <c r="AE121" s="72">
        <f t="shared" si="63"/>
        <v>0.5</v>
      </c>
      <c r="AF121" s="72">
        <f t="shared" ca="1" si="64"/>
        <v>0.5</v>
      </c>
      <c r="AG121" s="73">
        <f t="shared" ca="1" si="65"/>
        <v>0.5</v>
      </c>
      <c r="AH121" s="456">
        <f t="shared" si="66"/>
        <v>6.7017543859649136</v>
      </c>
      <c r="AI121" s="467">
        <f t="shared" ca="1" si="67"/>
        <v>33.508771929824569</v>
      </c>
      <c r="AJ121" s="458" t="str">
        <f t="shared" ca="1" si="68"/>
        <v>Q3</v>
      </c>
      <c r="AK121" s="95" t="s">
        <v>360</v>
      </c>
      <c r="AL121" s="111"/>
      <c r="AM121" s="117"/>
      <c r="AN121" s="113"/>
      <c r="AO121" s="113"/>
      <c r="AP121" s="119"/>
      <c r="AQ121" s="121"/>
      <c r="AR121" s="436"/>
      <c r="AS121" s="437"/>
      <c r="AT121" s="437"/>
      <c r="AU121" s="437"/>
      <c r="AV121" s="437"/>
      <c r="AW121" s="94"/>
    </row>
    <row r="122" spans="1:49" ht="36" customHeight="1">
      <c r="A122" s="5"/>
      <c r="B122" s="625">
        <v>217</v>
      </c>
      <c r="C122" s="6" t="s">
        <v>20</v>
      </c>
      <c r="D122" s="371" t="s">
        <v>7</v>
      </c>
      <c r="E122" s="18" t="s">
        <v>235</v>
      </c>
      <c r="F122" s="20" t="s">
        <v>236</v>
      </c>
      <c r="G122" s="20" t="s">
        <v>237</v>
      </c>
      <c r="H122" s="603">
        <v>235000</v>
      </c>
      <c r="I122" s="50">
        <v>3</v>
      </c>
      <c r="J122" s="55">
        <v>0.1</v>
      </c>
      <c r="K122" s="49"/>
      <c r="L122" s="56"/>
      <c r="M122" s="61">
        <v>6.0000000000000036</v>
      </c>
      <c r="N122" s="62">
        <v>1</v>
      </c>
      <c r="O122" s="62">
        <v>6.0000000000000036</v>
      </c>
      <c r="P122" s="62">
        <v>4.0000000000000027</v>
      </c>
      <c r="Q122" s="62">
        <v>8.0000000000000053</v>
      </c>
      <c r="R122" s="62">
        <v>1</v>
      </c>
      <c r="S122" s="62">
        <v>3</v>
      </c>
      <c r="T122" s="63">
        <v>6.0000000000000036</v>
      </c>
      <c r="U122" s="66" t="e">
        <f t="shared" ca="1" si="53"/>
        <v>#DIV/0!</v>
      </c>
      <c r="V122" s="66">
        <f t="shared" ca="1" si="54"/>
        <v>0.1</v>
      </c>
      <c r="W122" s="70">
        <f t="shared" si="55"/>
        <v>0.94736842105263208</v>
      </c>
      <c r="X122" s="70">
        <f t="shared" si="56"/>
        <v>0.10526315789473684</v>
      </c>
      <c r="Y122" s="70">
        <f t="shared" si="57"/>
        <v>0.84210526315789525</v>
      </c>
      <c r="Z122" s="70">
        <f t="shared" si="58"/>
        <v>0.7017543859649128</v>
      </c>
      <c r="AA122" s="70">
        <f t="shared" si="59"/>
        <v>0.7017543859649128</v>
      </c>
      <c r="AB122" s="70">
        <f t="shared" si="60"/>
        <v>0.12280701754385964</v>
      </c>
      <c r="AC122" s="70">
        <f t="shared" si="61"/>
        <v>0.31578947368421051</v>
      </c>
      <c r="AD122" s="71">
        <f t="shared" si="62"/>
        <v>0.63157894736842146</v>
      </c>
      <c r="AE122" s="72">
        <f t="shared" si="63"/>
        <v>0.7</v>
      </c>
      <c r="AF122" s="72">
        <f t="shared" ca="1" si="64"/>
        <v>0.9</v>
      </c>
      <c r="AG122" s="73">
        <f t="shared" ca="1" si="65"/>
        <v>0.76666666666666661</v>
      </c>
      <c r="AH122" s="456">
        <f t="shared" si="66"/>
        <v>4.3684210526315814</v>
      </c>
      <c r="AI122" s="467">
        <f t="shared" ca="1" si="67"/>
        <v>33.491228070175453</v>
      </c>
      <c r="AJ122" s="458" t="str">
        <f t="shared" ca="1" si="68"/>
        <v>Q2</v>
      </c>
      <c r="AK122" s="95" t="s">
        <v>360</v>
      </c>
      <c r="AL122" s="111"/>
      <c r="AM122" s="117"/>
      <c r="AN122" s="113"/>
      <c r="AO122" s="113"/>
      <c r="AP122" s="113"/>
      <c r="AQ122" s="121"/>
      <c r="AR122" s="438"/>
      <c r="AS122" s="437"/>
      <c r="AT122" s="437"/>
      <c r="AU122" s="437"/>
      <c r="AV122" s="437"/>
      <c r="AW122" s="94"/>
    </row>
    <row r="123" spans="1:49" ht="36" customHeight="1">
      <c r="A123" s="5">
        <v>328</v>
      </c>
      <c r="B123" s="625">
        <v>218</v>
      </c>
      <c r="C123" s="6" t="s">
        <v>53</v>
      </c>
      <c r="D123" s="371" t="s">
        <v>7</v>
      </c>
      <c r="E123" s="18" t="s">
        <v>221</v>
      </c>
      <c r="F123" s="20" t="s">
        <v>222</v>
      </c>
      <c r="G123" s="20" t="s">
        <v>223</v>
      </c>
      <c r="H123" s="603">
        <v>164000</v>
      </c>
      <c r="I123" s="50">
        <v>2</v>
      </c>
      <c r="J123" s="55">
        <v>0.1</v>
      </c>
      <c r="K123" s="49"/>
      <c r="L123" s="56"/>
      <c r="M123" s="61">
        <v>6.0000000000000036</v>
      </c>
      <c r="N123" s="62">
        <v>1</v>
      </c>
      <c r="O123" s="62">
        <v>1</v>
      </c>
      <c r="P123" s="62">
        <v>8.0000000000000053</v>
      </c>
      <c r="Q123" s="62">
        <v>1</v>
      </c>
      <c r="R123" s="62">
        <v>4.0000000000000027</v>
      </c>
      <c r="S123" s="62">
        <v>2</v>
      </c>
      <c r="T123" s="63">
        <v>6.0000000000000036</v>
      </c>
      <c r="U123" s="66" t="e">
        <f t="shared" ca="1" si="53"/>
        <v>#DIV/0!</v>
      </c>
      <c r="V123" s="66">
        <f t="shared" ca="1" si="54"/>
        <v>0.1</v>
      </c>
      <c r="W123" s="70">
        <f t="shared" si="55"/>
        <v>0.94736842105263208</v>
      </c>
      <c r="X123" s="70">
        <f t="shared" si="56"/>
        <v>0.10526315789473684</v>
      </c>
      <c r="Y123" s="70">
        <f t="shared" si="57"/>
        <v>0.14035087719298245</v>
      </c>
      <c r="Z123" s="70">
        <f t="shared" si="58"/>
        <v>1.4035087719298256</v>
      </c>
      <c r="AA123" s="70">
        <f t="shared" si="59"/>
        <v>8.771929824561403E-2</v>
      </c>
      <c r="AB123" s="70">
        <f t="shared" si="60"/>
        <v>0.4912280701754389</v>
      </c>
      <c r="AC123" s="70">
        <f t="shared" si="61"/>
        <v>0.21052631578947367</v>
      </c>
      <c r="AD123" s="71">
        <f t="shared" si="62"/>
        <v>0.63157894736842146</v>
      </c>
      <c r="AE123" s="72">
        <f t="shared" si="63"/>
        <v>0.8</v>
      </c>
      <c r="AF123" s="72">
        <f t="shared" ca="1" si="64"/>
        <v>0.9</v>
      </c>
      <c r="AG123" s="73">
        <f t="shared" ca="1" si="65"/>
        <v>0.83333333333333337</v>
      </c>
      <c r="AH123" s="456">
        <f t="shared" si="66"/>
        <v>4.0175438596491251</v>
      </c>
      <c r="AI123" s="467">
        <f t="shared" ca="1" si="67"/>
        <v>33.479532163742711</v>
      </c>
      <c r="AJ123" s="458" t="str">
        <f t="shared" ca="1" si="68"/>
        <v>Q2</v>
      </c>
      <c r="AK123" s="95" t="s">
        <v>360</v>
      </c>
      <c r="AL123" s="111"/>
      <c r="AM123" s="117"/>
      <c r="AN123" s="113"/>
      <c r="AO123" s="113"/>
      <c r="AP123" s="113"/>
      <c r="AQ123" s="121"/>
      <c r="AR123" s="436"/>
      <c r="AS123" s="437"/>
      <c r="AT123" s="437"/>
      <c r="AU123" s="437"/>
      <c r="AV123" s="437"/>
      <c r="AW123" s="94"/>
    </row>
    <row r="124" spans="1:49" ht="36" customHeight="1">
      <c r="A124" s="5">
        <v>242</v>
      </c>
      <c r="B124" s="625">
        <v>219</v>
      </c>
      <c r="C124" s="6" t="s">
        <v>32</v>
      </c>
      <c r="D124" s="442" t="s">
        <v>7</v>
      </c>
      <c r="E124" s="7" t="s">
        <v>1123</v>
      </c>
      <c r="F124" s="9" t="s">
        <v>1230</v>
      </c>
      <c r="G124" s="8" t="s">
        <v>338</v>
      </c>
      <c r="H124" s="600">
        <v>170000</v>
      </c>
      <c r="I124" s="49">
        <v>3</v>
      </c>
      <c r="J124" s="427">
        <v>0.1</v>
      </c>
      <c r="K124" s="49"/>
      <c r="L124" s="428"/>
      <c r="M124" s="429">
        <v>2</v>
      </c>
      <c r="N124" s="430">
        <v>4</v>
      </c>
      <c r="O124" s="430">
        <v>2</v>
      </c>
      <c r="P124" s="430">
        <v>10</v>
      </c>
      <c r="Q124" s="430">
        <v>8.0000000000000053</v>
      </c>
      <c r="R124" s="430">
        <v>2</v>
      </c>
      <c r="S124" s="430">
        <v>0</v>
      </c>
      <c r="T124" s="431">
        <v>6</v>
      </c>
      <c r="U124" s="66" t="e">
        <f t="shared" ca="1" si="53"/>
        <v>#DIV/0!</v>
      </c>
      <c r="V124" s="66">
        <f t="shared" ca="1" si="54"/>
        <v>0.1</v>
      </c>
      <c r="W124" s="70">
        <f t="shared" si="55"/>
        <v>0.31578947368421051</v>
      </c>
      <c r="X124" s="70">
        <f t="shared" si="56"/>
        <v>0.42105263157894735</v>
      </c>
      <c r="Y124" s="70">
        <f t="shared" si="57"/>
        <v>0.2807017543859649</v>
      </c>
      <c r="Z124" s="70">
        <f t="shared" si="58"/>
        <v>1.7543859649122806</v>
      </c>
      <c r="AA124" s="70">
        <f t="shared" si="59"/>
        <v>0.7017543859649128</v>
      </c>
      <c r="AB124" s="70">
        <f t="shared" si="60"/>
        <v>0.24561403508771928</v>
      </c>
      <c r="AC124" s="70">
        <f t="shared" si="61"/>
        <v>0</v>
      </c>
      <c r="AD124" s="71">
        <f t="shared" si="62"/>
        <v>0.63157894736842102</v>
      </c>
      <c r="AE124" s="72">
        <f t="shared" si="63"/>
        <v>0.7</v>
      </c>
      <c r="AF124" s="72">
        <f t="shared" ca="1" si="64"/>
        <v>0.9</v>
      </c>
      <c r="AG124" s="589">
        <f t="shared" ca="1" si="65"/>
        <v>0.76666666666666661</v>
      </c>
      <c r="AH124" s="456">
        <f t="shared" si="66"/>
        <v>4.3508771929824563</v>
      </c>
      <c r="AI124" s="467">
        <f t="shared" ca="1" si="67"/>
        <v>33.356725146198826</v>
      </c>
      <c r="AJ124" s="458" t="str">
        <f t="shared" ca="1" si="68"/>
        <v>Q2</v>
      </c>
      <c r="AK124" s="93" t="s">
        <v>360</v>
      </c>
      <c r="AL124" s="571"/>
      <c r="AM124" s="117"/>
      <c r="AN124" s="113"/>
      <c r="AO124" s="113"/>
      <c r="AP124" s="123"/>
      <c r="AQ124" s="121"/>
      <c r="AR124" s="436"/>
      <c r="AS124" s="437"/>
      <c r="AT124" s="437"/>
      <c r="AU124" s="437"/>
      <c r="AV124" s="437"/>
      <c r="AW124" s="94"/>
    </row>
    <row r="125" spans="1:49" ht="36" customHeight="1">
      <c r="A125" s="5"/>
      <c r="B125" s="625">
        <v>220</v>
      </c>
      <c r="C125" s="6" t="s">
        <v>8</v>
      </c>
      <c r="D125" s="371" t="s">
        <v>7</v>
      </c>
      <c r="E125" s="18" t="s">
        <v>249</v>
      </c>
      <c r="F125" s="19" t="s">
        <v>1460</v>
      </c>
      <c r="G125" s="20"/>
      <c r="H125" s="603">
        <v>137000</v>
      </c>
      <c r="I125" s="50">
        <v>4</v>
      </c>
      <c r="J125" s="55">
        <v>0.2</v>
      </c>
      <c r="K125" s="49"/>
      <c r="L125" s="56"/>
      <c r="M125" s="61">
        <v>8.0000000000000053</v>
      </c>
      <c r="N125" s="62">
        <v>7.0000000000000044</v>
      </c>
      <c r="O125" s="62">
        <v>4.0000000000000027</v>
      </c>
      <c r="P125" s="62">
        <v>5.0000000000000027</v>
      </c>
      <c r="Q125" s="62">
        <v>1</v>
      </c>
      <c r="R125" s="62">
        <v>5.0000000000000027</v>
      </c>
      <c r="S125" s="62">
        <v>1</v>
      </c>
      <c r="T125" s="63">
        <v>7.0000000000000044</v>
      </c>
      <c r="U125" s="66" t="e">
        <f t="shared" ca="1" si="53"/>
        <v>#DIV/0!</v>
      </c>
      <c r="V125" s="66">
        <f t="shared" ca="1" si="54"/>
        <v>0.2</v>
      </c>
      <c r="W125" s="70">
        <f t="shared" si="55"/>
        <v>1.2631578947368429</v>
      </c>
      <c r="X125" s="70">
        <f t="shared" si="56"/>
        <v>0.73684210526315841</v>
      </c>
      <c r="Y125" s="70">
        <f t="shared" si="57"/>
        <v>0.56140350877193024</v>
      </c>
      <c r="Z125" s="70">
        <f t="shared" si="58"/>
        <v>0.87719298245614086</v>
      </c>
      <c r="AA125" s="70">
        <f t="shared" si="59"/>
        <v>8.771929824561403E-2</v>
      </c>
      <c r="AB125" s="70">
        <f t="shared" si="60"/>
        <v>0.6140350877192986</v>
      </c>
      <c r="AC125" s="70">
        <f t="shared" si="61"/>
        <v>0.10526315789473684</v>
      </c>
      <c r="AD125" s="71">
        <f t="shared" si="62"/>
        <v>0.73684210526315841</v>
      </c>
      <c r="AE125" s="72">
        <f t="shared" si="63"/>
        <v>0.6</v>
      </c>
      <c r="AF125" s="72">
        <f t="shared" ca="1" si="64"/>
        <v>0.8</v>
      </c>
      <c r="AG125" s="73">
        <f t="shared" ca="1" si="65"/>
        <v>0.66666666666666663</v>
      </c>
      <c r="AH125" s="456">
        <f t="shared" si="66"/>
        <v>4.9824561403508802</v>
      </c>
      <c r="AI125" s="467">
        <f t="shared" ca="1" si="67"/>
        <v>33.216374269005868</v>
      </c>
      <c r="AJ125" s="458" t="str">
        <f t="shared" ca="1" si="68"/>
        <v>Q4</v>
      </c>
      <c r="AK125" s="95" t="s">
        <v>360</v>
      </c>
      <c r="AL125" s="111"/>
      <c r="AM125" s="117"/>
      <c r="AN125" s="113"/>
      <c r="AO125" s="113"/>
      <c r="AP125" s="113"/>
      <c r="AQ125" s="121"/>
      <c r="AR125" s="436"/>
      <c r="AS125" s="437"/>
      <c r="AT125" s="437"/>
      <c r="AU125" s="437"/>
      <c r="AV125" s="437"/>
      <c r="AW125" s="94"/>
    </row>
    <row r="126" spans="1:49" ht="36" customHeight="1">
      <c r="A126" s="5"/>
      <c r="B126" s="625">
        <v>221</v>
      </c>
      <c r="C126" s="6" t="s">
        <v>6</v>
      </c>
      <c r="D126" s="371" t="s">
        <v>7</v>
      </c>
      <c r="E126" s="7" t="s">
        <v>420</v>
      </c>
      <c r="F126" s="9" t="s">
        <v>1268</v>
      </c>
      <c r="G126" s="8"/>
      <c r="H126" s="596">
        <v>160000</v>
      </c>
      <c r="I126" s="49">
        <v>4</v>
      </c>
      <c r="J126" s="55">
        <v>0.3</v>
      </c>
      <c r="K126" s="49"/>
      <c r="L126" s="56"/>
      <c r="M126" s="61">
        <v>6.0000000000000036</v>
      </c>
      <c r="N126" s="62">
        <v>8.0000000000000053</v>
      </c>
      <c r="O126" s="62">
        <v>4.0000000000000027</v>
      </c>
      <c r="P126" s="62">
        <v>4.0000000000000027</v>
      </c>
      <c r="Q126" s="62">
        <v>6.0000000000000036</v>
      </c>
      <c r="R126" s="62">
        <v>4</v>
      </c>
      <c r="S126" s="62">
        <v>5</v>
      </c>
      <c r="T126" s="63">
        <v>6.0000000000000036</v>
      </c>
      <c r="U126" s="66" t="e">
        <f t="shared" ca="1" si="53"/>
        <v>#DIV/0!</v>
      </c>
      <c r="V126" s="66">
        <f t="shared" ca="1" si="54"/>
        <v>0.3</v>
      </c>
      <c r="W126" s="70">
        <f t="shared" si="55"/>
        <v>0.94736842105263208</v>
      </c>
      <c r="X126" s="70">
        <f t="shared" si="56"/>
        <v>0.84210526315789525</v>
      </c>
      <c r="Y126" s="70">
        <f t="shared" si="57"/>
        <v>0.56140350877193024</v>
      </c>
      <c r="Z126" s="70">
        <f t="shared" si="58"/>
        <v>0.7017543859649128</v>
      </c>
      <c r="AA126" s="70">
        <f t="shared" si="59"/>
        <v>0.52631578947368451</v>
      </c>
      <c r="AB126" s="70">
        <f t="shared" si="60"/>
        <v>0.49122807017543857</v>
      </c>
      <c r="AC126" s="70">
        <f t="shared" si="61"/>
        <v>0.52631578947368418</v>
      </c>
      <c r="AD126" s="71">
        <f t="shared" si="62"/>
        <v>0.63157894736842146</v>
      </c>
      <c r="AE126" s="72">
        <f t="shared" si="63"/>
        <v>0.6</v>
      </c>
      <c r="AF126" s="72">
        <f t="shared" ca="1" si="64"/>
        <v>0.7</v>
      </c>
      <c r="AG126" s="73">
        <f t="shared" ca="1" si="65"/>
        <v>0.6333333333333333</v>
      </c>
      <c r="AH126" s="456">
        <f t="shared" si="66"/>
        <v>5.2280701754385985</v>
      </c>
      <c r="AI126" s="467">
        <f t="shared" ca="1" si="67"/>
        <v>33.111111111111121</v>
      </c>
      <c r="AJ126" s="458" t="str">
        <f t="shared" ca="1" si="68"/>
        <v>Q4</v>
      </c>
      <c r="AK126" s="93" t="s">
        <v>360</v>
      </c>
      <c r="AL126" s="110"/>
      <c r="AM126" s="117"/>
      <c r="AN126" s="113"/>
      <c r="AO126" s="113"/>
      <c r="AP126" s="113"/>
      <c r="AQ126" s="121"/>
      <c r="AR126" s="438"/>
      <c r="AS126" s="437"/>
      <c r="AT126" s="437"/>
      <c r="AU126" s="437"/>
      <c r="AV126" s="437"/>
      <c r="AW126" s="94"/>
    </row>
    <row r="127" spans="1:49" ht="36" customHeight="1">
      <c r="A127" s="1"/>
      <c r="B127" s="625">
        <v>222</v>
      </c>
      <c r="C127" s="2" t="s">
        <v>6</v>
      </c>
      <c r="D127" s="370" t="s">
        <v>7</v>
      </c>
      <c r="E127" s="3" t="s">
        <v>1308</v>
      </c>
      <c r="F127" s="592" t="s">
        <v>1269</v>
      </c>
      <c r="G127" s="721"/>
      <c r="H127" s="601">
        <v>350000</v>
      </c>
      <c r="I127" s="380">
        <v>4</v>
      </c>
      <c r="J127" s="377">
        <v>0.3</v>
      </c>
      <c r="K127" s="376"/>
      <c r="L127" s="378"/>
      <c r="M127" s="61">
        <v>6</v>
      </c>
      <c r="N127" s="62">
        <v>8</v>
      </c>
      <c r="O127" s="62">
        <v>4</v>
      </c>
      <c r="P127" s="62">
        <v>4</v>
      </c>
      <c r="Q127" s="62">
        <v>6</v>
      </c>
      <c r="R127" s="62">
        <v>4</v>
      </c>
      <c r="S127" s="62">
        <v>5</v>
      </c>
      <c r="T127" s="63">
        <v>6</v>
      </c>
      <c r="U127" s="379" t="e">
        <f t="shared" ca="1" si="53"/>
        <v>#DIV/0!</v>
      </c>
      <c r="V127" s="379">
        <f t="shared" ca="1" si="54"/>
        <v>0.3</v>
      </c>
      <c r="W127" s="70">
        <f t="shared" si="55"/>
        <v>0.94736842105263153</v>
      </c>
      <c r="X127" s="70">
        <f t="shared" si="56"/>
        <v>0.84210526315789469</v>
      </c>
      <c r="Y127" s="70">
        <f t="shared" si="57"/>
        <v>0.56140350877192979</v>
      </c>
      <c r="Z127" s="70">
        <f t="shared" si="58"/>
        <v>0.70175438596491224</v>
      </c>
      <c r="AA127" s="70">
        <f t="shared" si="59"/>
        <v>0.52631578947368418</v>
      </c>
      <c r="AB127" s="70">
        <f t="shared" si="60"/>
        <v>0.49122807017543857</v>
      </c>
      <c r="AC127" s="70">
        <f t="shared" si="61"/>
        <v>0.52631578947368418</v>
      </c>
      <c r="AD127" s="71">
        <f t="shared" si="62"/>
        <v>0.63157894736842102</v>
      </c>
      <c r="AE127" s="72">
        <f t="shared" si="63"/>
        <v>0.6</v>
      </c>
      <c r="AF127" s="72">
        <f t="shared" ca="1" si="64"/>
        <v>0.7</v>
      </c>
      <c r="AG127" s="73">
        <f t="shared" ca="1" si="65"/>
        <v>0.6333333333333333</v>
      </c>
      <c r="AH127" s="455">
        <f t="shared" si="66"/>
        <v>5.2280701754385959</v>
      </c>
      <c r="AI127" s="466">
        <f t="shared" ca="1" si="67"/>
        <v>33.111111111111107</v>
      </c>
      <c r="AJ127" s="458" t="str">
        <f t="shared" ca="1" si="68"/>
        <v>Q4</v>
      </c>
      <c r="AK127" s="91" t="s">
        <v>360</v>
      </c>
      <c r="AL127" s="572"/>
      <c r="AM127" s="117"/>
      <c r="AN127" s="113"/>
      <c r="AO127" s="113"/>
      <c r="AP127" s="113"/>
      <c r="AQ127" s="121"/>
      <c r="AR127" s="436"/>
      <c r="AS127" s="437"/>
      <c r="AT127" s="437"/>
      <c r="AU127" s="437"/>
      <c r="AV127" s="437"/>
      <c r="AW127" s="92"/>
    </row>
    <row r="128" spans="1:49" ht="36" customHeight="1">
      <c r="A128" s="5">
        <v>202</v>
      </c>
      <c r="B128" s="625">
        <v>223</v>
      </c>
      <c r="C128" s="6" t="s">
        <v>18</v>
      </c>
      <c r="D128" s="371" t="s">
        <v>7</v>
      </c>
      <c r="E128" s="18" t="s">
        <v>114</v>
      </c>
      <c r="F128" s="20" t="s">
        <v>115</v>
      </c>
      <c r="G128" s="20" t="s">
        <v>116</v>
      </c>
      <c r="H128" s="603">
        <v>100000</v>
      </c>
      <c r="I128" s="50">
        <v>3</v>
      </c>
      <c r="J128" s="55">
        <v>0.1</v>
      </c>
      <c r="K128" s="49"/>
      <c r="L128" s="56"/>
      <c r="M128" s="61">
        <v>4.0000000000000027</v>
      </c>
      <c r="N128" s="62">
        <v>6.0000000000000036</v>
      </c>
      <c r="O128" s="62">
        <v>2</v>
      </c>
      <c r="P128" s="62">
        <v>6.0000000000000036</v>
      </c>
      <c r="Q128" s="62">
        <v>2</v>
      </c>
      <c r="R128" s="62">
        <v>4</v>
      </c>
      <c r="S128" s="62">
        <v>4</v>
      </c>
      <c r="T128" s="63">
        <v>6</v>
      </c>
      <c r="U128" s="66" t="e">
        <f t="shared" ca="1" si="53"/>
        <v>#DIV/0!</v>
      </c>
      <c r="V128" s="66">
        <f t="shared" ca="1" si="54"/>
        <v>0.1</v>
      </c>
      <c r="W128" s="70">
        <f t="shared" si="55"/>
        <v>0.63157894736842146</v>
      </c>
      <c r="X128" s="70">
        <f t="shared" si="56"/>
        <v>0.63157894736842146</v>
      </c>
      <c r="Y128" s="70">
        <f t="shared" si="57"/>
        <v>0.2807017543859649</v>
      </c>
      <c r="Z128" s="70">
        <f t="shared" si="58"/>
        <v>1.052631578947369</v>
      </c>
      <c r="AA128" s="70">
        <f t="shared" si="59"/>
        <v>0.17543859649122806</v>
      </c>
      <c r="AB128" s="70">
        <f t="shared" si="60"/>
        <v>0.49122807017543857</v>
      </c>
      <c r="AC128" s="70">
        <f t="shared" si="61"/>
        <v>0.42105263157894735</v>
      </c>
      <c r="AD128" s="71">
        <f t="shared" si="62"/>
        <v>0.63157894736842102</v>
      </c>
      <c r="AE128" s="72">
        <f t="shared" si="63"/>
        <v>0.7</v>
      </c>
      <c r="AF128" s="72">
        <f t="shared" ca="1" si="64"/>
        <v>0.9</v>
      </c>
      <c r="AG128" s="73">
        <f t="shared" ca="1" si="65"/>
        <v>0.76666666666666661</v>
      </c>
      <c r="AH128" s="456">
        <f t="shared" si="66"/>
        <v>4.3157894736842115</v>
      </c>
      <c r="AI128" s="467">
        <f t="shared" ca="1" si="67"/>
        <v>33.087719298245617</v>
      </c>
      <c r="AJ128" s="458" t="str">
        <f t="shared" ca="1" si="68"/>
        <v>Q2</v>
      </c>
      <c r="AK128" s="95" t="s">
        <v>360</v>
      </c>
      <c r="AL128" s="111"/>
      <c r="AM128" s="117"/>
      <c r="AN128" s="113"/>
      <c r="AO128" s="113"/>
      <c r="AP128" s="113"/>
      <c r="AQ128" s="121"/>
      <c r="AR128" s="436"/>
      <c r="AS128" s="437"/>
      <c r="AT128" s="437"/>
      <c r="AU128" s="437"/>
      <c r="AV128" s="437"/>
      <c r="AW128" s="94"/>
    </row>
    <row r="129" spans="1:49" ht="36" customHeight="1">
      <c r="A129" s="5"/>
      <c r="B129" s="625">
        <v>224</v>
      </c>
      <c r="C129" s="6" t="s">
        <v>8</v>
      </c>
      <c r="D129" s="371" t="s">
        <v>7</v>
      </c>
      <c r="E129" s="18" t="s">
        <v>164</v>
      </c>
      <c r="F129" s="20" t="s">
        <v>1396</v>
      </c>
      <c r="G129" s="20" t="s">
        <v>165</v>
      </c>
      <c r="H129" s="603">
        <v>118000</v>
      </c>
      <c r="I129" s="50">
        <v>4</v>
      </c>
      <c r="J129" s="55">
        <v>0</v>
      </c>
      <c r="K129" s="49"/>
      <c r="L129" s="56"/>
      <c r="M129" s="61">
        <v>6.0000000000000036</v>
      </c>
      <c r="N129" s="62">
        <v>1</v>
      </c>
      <c r="O129" s="62">
        <v>4.0000000000000027</v>
      </c>
      <c r="P129" s="62">
        <v>8.0000000000000053</v>
      </c>
      <c r="Q129" s="62">
        <v>6.0000000000000036</v>
      </c>
      <c r="R129" s="62">
        <v>1</v>
      </c>
      <c r="S129" s="62">
        <v>0</v>
      </c>
      <c r="T129" s="63">
        <v>8.0000000000000053</v>
      </c>
      <c r="U129" s="66" t="e">
        <f t="shared" ca="1" si="53"/>
        <v>#DIV/0!</v>
      </c>
      <c r="V129" s="66">
        <f t="shared" ca="1" si="54"/>
        <v>0</v>
      </c>
      <c r="W129" s="70">
        <f t="shared" si="55"/>
        <v>0.94736842105263208</v>
      </c>
      <c r="X129" s="70">
        <f t="shared" si="56"/>
        <v>0.10526315789473684</v>
      </c>
      <c r="Y129" s="70">
        <f t="shared" si="57"/>
        <v>0.56140350877193024</v>
      </c>
      <c r="Z129" s="70">
        <f t="shared" si="58"/>
        <v>1.4035087719298256</v>
      </c>
      <c r="AA129" s="70">
        <f t="shared" si="59"/>
        <v>0.52631578947368451</v>
      </c>
      <c r="AB129" s="70">
        <f t="shared" si="60"/>
        <v>0.12280701754385964</v>
      </c>
      <c r="AC129" s="70">
        <f t="shared" si="61"/>
        <v>0</v>
      </c>
      <c r="AD129" s="71">
        <f t="shared" si="62"/>
        <v>0.84210526315789525</v>
      </c>
      <c r="AE129" s="72">
        <f t="shared" si="63"/>
        <v>0.6</v>
      </c>
      <c r="AF129" s="72">
        <f t="shared" ca="1" si="64"/>
        <v>1</v>
      </c>
      <c r="AG129" s="73">
        <f t="shared" ca="1" si="65"/>
        <v>0.73333333333333339</v>
      </c>
      <c r="AH129" s="456">
        <f t="shared" si="66"/>
        <v>4.5087719298245643</v>
      </c>
      <c r="AI129" s="467">
        <f t="shared" ca="1" si="67"/>
        <v>33.06432748538014</v>
      </c>
      <c r="AJ129" s="458" t="str">
        <f t="shared" ca="1" si="68"/>
        <v>Q4</v>
      </c>
      <c r="AK129" s="95" t="s">
        <v>360</v>
      </c>
      <c r="AL129" s="573"/>
      <c r="AM129" s="117"/>
      <c r="AN129" s="113"/>
      <c r="AO129" s="113"/>
      <c r="AP129" s="463"/>
      <c r="AQ129" s="121"/>
      <c r="AR129" s="436"/>
      <c r="AS129" s="437"/>
      <c r="AT129" s="437"/>
      <c r="AU129" s="437"/>
      <c r="AV129" s="437"/>
      <c r="AW129" s="94"/>
    </row>
    <row r="130" spans="1:49" ht="36" customHeight="1">
      <c r="A130" s="5"/>
      <c r="B130" s="625">
        <v>225</v>
      </c>
      <c r="C130" s="6" t="s">
        <v>6</v>
      </c>
      <c r="D130" s="371" t="s">
        <v>7</v>
      </c>
      <c r="E130" s="7" t="s">
        <v>284</v>
      </c>
      <c r="F130" s="9" t="s">
        <v>1345</v>
      </c>
      <c r="G130" s="8"/>
      <c r="H130" s="600">
        <v>400000</v>
      </c>
      <c r="I130" s="49">
        <v>3</v>
      </c>
      <c r="J130" s="55">
        <v>0.2</v>
      </c>
      <c r="K130" s="49"/>
      <c r="L130" s="56"/>
      <c r="M130" s="61">
        <v>6.0000000000000036</v>
      </c>
      <c r="N130" s="62">
        <v>6</v>
      </c>
      <c r="O130" s="62">
        <v>3</v>
      </c>
      <c r="P130" s="62">
        <v>4.0000000000000027</v>
      </c>
      <c r="Q130" s="62">
        <v>1</v>
      </c>
      <c r="R130" s="62">
        <v>8.0000000000000053</v>
      </c>
      <c r="S130" s="62">
        <v>1</v>
      </c>
      <c r="T130" s="63">
        <v>6.0000000000000036</v>
      </c>
      <c r="U130" s="66" t="e">
        <f t="shared" ca="1" si="53"/>
        <v>#DIV/0!</v>
      </c>
      <c r="V130" s="66">
        <f t="shared" ca="1" si="54"/>
        <v>0.2</v>
      </c>
      <c r="W130" s="70">
        <f t="shared" si="55"/>
        <v>0.94736842105263208</v>
      </c>
      <c r="X130" s="70">
        <f t="shared" si="56"/>
        <v>0.63157894736842102</v>
      </c>
      <c r="Y130" s="70">
        <f t="shared" si="57"/>
        <v>0.42105263157894735</v>
      </c>
      <c r="Z130" s="70">
        <f t="shared" si="58"/>
        <v>0.7017543859649128</v>
      </c>
      <c r="AA130" s="70">
        <f t="shared" si="59"/>
        <v>8.771929824561403E-2</v>
      </c>
      <c r="AB130" s="70">
        <f t="shared" si="60"/>
        <v>0.9824561403508778</v>
      </c>
      <c r="AC130" s="70">
        <f t="shared" si="61"/>
        <v>0.10526315789473684</v>
      </c>
      <c r="AD130" s="71">
        <f t="shared" si="62"/>
        <v>0.63157894736842146</v>
      </c>
      <c r="AE130" s="72">
        <f t="shared" si="63"/>
        <v>0.7</v>
      </c>
      <c r="AF130" s="72">
        <f t="shared" ca="1" si="64"/>
        <v>0.8</v>
      </c>
      <c r="AG130" s="73">
        <f t="shared" ca="1" si="65"/>
        <v>0.73333333333333339</v>
      </c>
      <c r="AH130" s="456">
        <f t="shared" si="66"/>
        <v>4.5087719298245634</v>
      </c>
      <c r="AI130" s="467">
        <f t="shared" ca="1" si="67"/>
        <v>33.064327485380133</v>
      </c>
      <c r="AJ130" s="458" t="str">
        <f t="shared" ca="1" si="68"/>
        <v>Q4</v>
      </c>
      <c r="AK130" s="93" t="s">
        <v>360</v>
      </c>
      <c r="AL130" s="110"/>
      <c r="AM130" s="117"/>
      <c r="AN130" s="113"/>
      <c r="AO130" s="113"/>
      <c r="AP130" s="123"/>
      <c r="AQ130" s="121"/>
      <c r="AR130" s="436"/>
      <c r="AS130" s="437"/>
      <c r="AT130" s="437"/>
      <c r="AU130" s="437"/>
      <c r="AV130" s="437"/>
      <c r="AW130" s="94"/>
    </row>
    <row r="131" spans="1:49" ht="36" customHeight="1">
      <c r="A131" s="5"/>
      <c r="B131" s="625">
        <v>226</v>
      </c>
      <c r="C131" s="6" t="s">
        <v>8</v>
      </c>
      <c r="D131" s="371" t="s">
        <v>7</v>
      </c>
      <c r="E131" s="18" t="s">
        <v>233</v>
      </c>
      <c r="F131" s="20" t="s">
        <v>1510</v>
      </c>
      <c r="G131" s="20" t="s">
        <v>234</v>
      </c>
      <c r="H131" s="603">
        <v>115000</v>
      </c>
      <c r="I131" s="50">
        <v>3</v>
      </c>
      <c r="J131" s="55">
        <v>0.2</v>
      </c>
      <c r="K131" s="49"/>
      <c r="L131" s="56"/>
      <c r="M131" s="61">
        <v>6.0000000000000036</v>
      </c>
      <c r="N131" s="62">
        <v>1</v>
      </c>
      <c r="O131" s="62">
        <v>6.0000000000000036</v>
      </c>
      <c r="P131" s="62">
        <v>4.0000000000000027</v>
      </c>
      <c r="Q131" s="62">
        <v>4.0000000000000027</v>
      </c>
      <c r="R131" s="62">
        <v>4.0000000000000027</v>
      </c>
      <c r="S131" s="62">
        <v>4</v>
      </c>
      <c r="T131" s="63">
        <v>6.0000000000000036</v>
      </c>
      <c r="U131" s="66" t="e">
        <f t="shared" ca="1" si="53"/>
        <v>#DIV/0!</v>
      </c>
      <c r="V131" s="66">
        <f t="shared" ca="1" si="54"/>
        <v>0.2</v>
      </c>
      <c r="W131" s="70">
        <f t="shared" si="55"/>
        <v>0.94736842105263208</v>
      </c>
      <c r="X131" s="70">
        <f t="shared" si="56"/>
        <v>0.10526315789473684</v>
      </c>
      <c r="Y131" s="70">
        <f t="shared" si="57"/>
        <v>0.84210526315789525</v>
      </c>
      <c r="Z131" s="70">
        <f t="shared" si="58"/>
        <v>0.7017543859649128</v>
      </c>
      <c r="AA131" s="70">
        <f t="shared" si="59"/>
        <v>0.3508771929824564</v>
      </c>
      <c r="AB131" s="70">
        <f t="shared" si="60"/>
        <v>0.4912280701754389</v>
      </c>
      <c r="AC131" s="70">
        <f t="shared" si="61"/>
        <v>0.42105263157894735</v>
      </c>
      <c r="AD131" s="71">
        <f t="shared" si="62"/>
        <v>0.63157894736842146</v>
      </c>
      <c r="AE131" s="72">
        <f t="shared" si="63"/>
        <v>0.7</v>
      </c>
      <c r="AF131" s="72">
        <f t="shared" ca="1" si="64"/>
        <v>0.8</v>
      </c>
      <c r="AG131" s="73">
        <f t="shared" ca="1" si="65"/>
        <v>0.73333333333333339</v>
      </c>
      <c r="AH131" s="456">
        <f t="shared" si="66"/>
        <v>4.491228070175441</v>
      </c>
      <c r="AI131" s="467">
        <f t="shared" ca="1" si="67"/>
        <v>32.935672514619903</v>
      </c>
      <c r="AJ131" s="458" t="str">
        <f t="shared" ca="1" si="68"/>
        <v>Q4</v>
      </c>
      <c r="AK131" s="95" t="s">
        <v>360</v>
      </c>
      <c r="AL131" s="111"/>
      <c r="AM131" s="117"/>
      <c r="AN131" s="113"/>
      <c r="AO131" s="113"/>
      <c r="AP131" s="113"/>
      <c r="AQ131" s="121"/>
      <c r="AR131" s="436"/>
      <c r="AS131" s="437"/>
      <c r="AT131" s="437"/>
      <c r="AU131" s="437"/>
      <c r="AV131" s="437"/>
      <c r="AW131" s="94"/>
    </row>
    <row r="132" spans="1:49" ht="36" customHeight="1">
      <c r="A132" s="1">
        <v>260</v>
      </c>
      <c r="B132" s="625">
        <v>227</v>
      </c>
      <c r="C132" s="2" t="s">
        <v>18</v>
      </c>
      <c r="D132" s="370" t="s">
        <v>416</v>
      </c>
      <c r="E132" s="461" t="s">
        <v>1470</v>
      </c>
      <c r="F132" s="462" t="s">
        <v>1285</v>
      </c>
      <c r="G132" s="375"/>
      <c r="H132" s="601">
        <v>1675000</v>
      </c>
      <c r="I132" s="380">
        <v>3</v>
      </c>
      <c r="J132" s="377">
        <v>0.3</v>
      </c>
      <c r="K132" s="376"/>
      <c r="L132" s="378"/>
      <c r="M132" s="61">
        <v>5</v>
      </c>
      <c r="N132" s="62">
        <v>8</v>
      </c>
      <c r="O132" s="62">
        <v>3</v>
      </c>
      <c r="P132" s="62">
        <v>4</v>
      </c>
      <c r="Q132" s="62">
        <v>0</v>
      </c>
      <c r="R132" s="62">
        <v>8</v>
      </c>
      <c r="S132" s="62">
        <v>0</v>
      </c>
      <c r="T132" s="63">
        <v>9</v>
      </c>
      <c r="U132" s="379" t="e">
        <f t="shared" ca="1" si="53"/>
        <v>#DIV/0!</v>
      </c>
      <c r="V132" s="379">
        <f t="shared" ca="1" si="54"/>
        <v>0.3</v>
      </c>
      <c r="W132" s="70">
        <f t="shared" si="55"/>
        <v>0.78947368421052633</v>
      </c>
      <c r="X132" s="70">
        <f t="shared" si="56"/>
        <v>0.84210526315789469</v>
      </c>
      <c r="Y132" s="70">
        <f t="shared" si="57"/>
        <v>0.42105263157894735</v>
      </c>
      <c r="Z132" s="70">
        <f t="shared" si="58"/>
        <v>0.70175438596491224</v>
      </c>
      <c r="AA132" s="70">
        <f t="shared" si="59"/>
        <v>0</v>
      </c>
      <c r="AB132" s="70">
        <f t="shared" si="60"/>
        <v>0.98245614035087714</v>
      </c>
      <c r="AC132" s="70">
        <f t="shared" si="61"/>
        <v>0</v>
      </c>
      <c r="AD132" s="71">
        <f t="shared" si="62"/>
        <v>0.94736842105263153</v>
      </c>
      <c r="AE132" s="72">
        <f t="shared" si="63"/>
        <v>0.7</v>
      </c>
      <c r="AF132" s="72">
        <f t="shared" ca="1" si="64"/>
        <v>0.7</v>
      </c>
      <c r="AG132" s="73">
        <f t="shared" ca="1" si="65"/>
        <v>0.69999999999999984</v>
      </c>
      <c r="AH132" s="455">
        <f t="shared" si="66"/>
        <v>4.6842105263157894</v>
      </c>
      <c r="AI132" s="466">
        <f t="shared" ca="1" si="67"/>
        <v>32.78947368421052</v>
      </c>
      <c r="AJ132" s="458" t="str">
        <f t="shared" ca="1" si="68"/>
        <v>Q4</v>
      </c>
      <c r="AK132" s="373" t="s">
        <v>360</v>
      </c>
      <c r="AL132" s="111"/>
      <c r="AM132" s="117"/>
      <c r="AN132" s="113"/>
      <c r="AO132" s="113"/>
      <c r="AP132" s="113"/>
      <c r="AQ132" s="121"/>
      <c r="AR132" s="436"/>
      <c r="AS132" s="437"/>
      <c r="AT132" s="437"/>
      <c r="AU132" s="437"/>
      <c r="AV132" s="437"/>
      <c r="AW132" s="92"/>
    </row>
    <row r="133" spans="1:49" ht="36" customHeight="1">
      <c r="A133" s="5">
        <v>292</v>
      </c>
      <c r="B133" s="625">
        <v>229</v>
      </c>
      <c r="C133" s="6" t="s">
        <v>18</v>
      </c>
      <c r="D133" s="371" t="s">
        <v>7</v>
      </c>
      <c r="E133" s="18" t="s">
        <v>131</v>
      </c>
      <c r="F133" s="20" t="s">
        <v>1388</v>
      </c>
      <c r="G133" s="20" t="s">
        <v>132</v>
      </c>
      <c r="H133" s="603">
        <v>130500</v>
      </c>
      <c r="I133" s="50">
        <v>4</v>
      </c>
      <c r="J133" s="55">
        <v>0.1</v>
      </c>
      <c r="K133" s="49"/>
      <c r="L133" s="56"/>
      <c r="M133" s="61">
        <v>4.0000000000000027</v>
      </c>
      <c r="N133" s="62">
        <v>6.0000000000000036</v>
      </c>
      <c r="O133" s="62">
        <v>4</v>
      </c>
      <c r="P133" s="62">
        <v>4.0000000000000027</v>
      </c>
      <c r="Q133" s="62">
        <v>5</v>
      </c>
      <c r="R133" s="62">
        <v>6.0000000000000036</v>
      </c>
      <c r="S133" s="62">
        <v>3</v>
      </c>
      <c r="T133" s="63">
        <v>6.0000000000000036</v>
      </c>
      <c r="U133" s="66" t="e">
        <f t="shared" ca="1" si="53"/>
        <v>#DIV/0!</v>
      </c>
      <c r="V133" s="66">
        <f t="shared" ca="1" si="54"/>
        <v>0.1</v>
      </c>
      <c r="W133" s="70">
        <f t="shared" si="55"/>
        <v>0.63157894736842146</v>
      </c>
      <c r="X133" s="70">
        <f t="shared" si="56"/>
        <v>0.63157894736842146</v>
      </c>
      <c r="Y133" s="70">
        <f t="shared" si="57"/>
        <v>0.56140350877192979</v>
      </c>
      <c r="Z133" s="70">
        <f t="shared" si="58"/>
        <v>0.7017543859649128</v>
      </c>
      <c r="AA133" s="70">
        <f t="shared" si="59"/>
        <v>0.43859649122807015</v>
      </c>
      <c r="AB133" s="70">
        <f t="shared" si="60"/>
        <v>0.73684210526315841</v>
      </c>
      <c r="AC133" s="70">
        <f t="shared" si="61"/>
        <v>0.31578947368421051</v>
      </c>
      <c r="AD133" s="71">
        <f t="shared" si="62"/>
        <v>0.63157894736842146</v>
      </c>
      <c r="AE133" s="72">
        <f t="shared" si="63"/>
        <v>0.6</v>
      </c>
      <c r="AF133" s="72">
        <f t="shared" ca="1" si="64"/>
        <v>0.9</v>
      </c>
      <c r="AG133" s="73">
        <f t="shared" ca="1" si="65"/>
        <v>0.70000000000000007</v>
      </c>
      <c r="AH133" s="456">
        <f t="shared" si="66"/>
        <v>4.6491228070175454</v>
      </c>
      <c r="AI133" s="467">
        <f t="shared" ca="1" si="67"/>
        <v>32.543859649122822</v>
      </c>
      <c r="AJ133" s="458" t="str">
        <f t="shared" ca="1" si="68"/>
        <v>Q4</v>
      </c>
      <c r="AK133" s="95" t="s">
        <v>360</v>
      </c>
      <c r="AL133" s="573"/>
      <c r="AM133" s="117"/>
      <c r="AN133" s="113"/>
      <c r="AO133" s="113"/>
      <c r="AP133" s="113"/>
      <c r="AQ133" s="121"/>
      <c r="AR133" s="438"/>
      <c r="AS133" s="437"/>
      <c r="AT133" s="437"/>
      <c r="AU133" s="437"/>
      <c r="AV133" s="437"/>
      <c r="AW133" s="94"/>
    </row>
    <row r="134" spans="1:49" ht="36" customHeight="1">
      <c r="A134" s="5"/>
      <c r="B134" s="625">
        <v>231</v>
      </c>
      <c r="C134" s="6" t="s">
        <v>18</v>
      </c>
      <c r="D134" s="371" t="s">
        <v>7</v>
      </c>
      <c r="E134" s="715" t="s">
        <v>178</v>
      </c>
      <c r="F134" s="20" t="s">
        <v>179</v>
      </c>
      <c r="G134" s="20" t="s">
        <v>180</v>
      </c>
      <c r="H134" s="603">
        <v>160500</v>
      </c>
      <c r="I134" s="50">
        <v>3</v>
      </c>
      <c r="J134" s="55">
        <v>0.1</v>
      </c>
      <c r="K134" s="49"/>
      <c r="L134" s="56"/>
      <c r="M134" s="61">
        <v>2</v>
      </c>
      <c r="N134" s="62">
        <v>6</v>
      </c>
      <c r="O134" s="62">
        <v>4</v>
      </c>
      <c r="P134" s="62">
        <v>6.0000000000000036</v>
      </c>
      <c r="Q134" s="62">
        <v>1</v>
      </c>
      <c r="R134" s="62">
        <v>6</v>
      </c>
      <c r="S134" s="62">
        <v>0</v>
      </c>
      <c r="T134" s="63">
        <v>8.0000000000000053</v>
      </c>
      <c r="U134" s="66" t="e">
        <f t="shared" ref="U134:U165" ca="1" si="69">(L134-(YEAR(TODAY())-K134))/L134</f>
        <v>#DIV/0!</v>
      </c>
      <c r="V134" s="66">
        <f t="shared" ref="V134:V165" ca="1" si="70">IFERROR(U134,J134)</f>
        <v>0.1</v>
      </c>
      <c r="W134" s="70">
        <f t="shared" ref="W134:W165" si="71">M134*Weight1/(WSum)</f>
        <v>0.31578947368421051</v>
      </c>
      <c r="X134" s="70">
        <f t="shared" ref="X134:X165" si="72">N134*Weight2/(WSum)</f>
        <v>0.63157894736842102</v>
      </c>
      <c r="Y134" s="70">
        <f t="shared" ref="Y134:Y165" si="73">O134*Weight3/(WSum)</f>
        <v>0.56140350877192979</v>
      </c>
      <c r="Z134" s="70">
        <f t="shared" ref="Z134:Z165" si="74">P134*Weight4/(WSum)</f>
        <v>1.052631578947369</v>
      </c>
      <c r="AA134" s="70">
        <f t="shared" ref="AA134:AA165" si="75">Q134*Weight5/(WSum)</f>
        <v>8.771929824561403E-2</v>
      </c>
      <c r="AB134" s="70">
        <f t="shared" ref="AB134:AB165" si="76">R134*Weight6/(WSum)</f>
        <v>0.73684210526315785</v>
      </c>
      <c r="AC134" s="70">
        <f t="shared" ref="AC134:AC165" si="77">S134*Weight7/(WSum)</f>
        <v>0</v>
      </c>
      <c r="AD134" s="71">
        <f t="shared" ref="AD134:AD165" si="78">T134*Weight8/(WSum)</f>
        <v>0.84210526315789525</v>
      </c>
      <c r="AE134" s="72">
        <f t="shared" ref="AE134:AE165" si="79">-1/10*I134+1</f>
        <v>0.7</v>
      </c>
      <c r="AF134" s="72">
        <f t="shared" ref="AF134:AF165" ca="1" si="80">IF(V134&lt;0,0,-V134+1)</f>
        <v>0.9</v>
      </c>
      <c r="AG134" s="73">
        <f t="shared" ref="AG134:AG165" ca="1" si="81">(AE134*CondWeight+AF134*PLifeWeight)/(CondWeight+PLifeWeight)</f>
        <v>0.76666666666666661</v>
      </c>
      <c r="AH134" s="456">
        <f t="shared" ref="AH134:AH165" si="82">SUM(W134:AD134)</f>
        <v>4.2280701754385976</v>
      </c>
      <c r="AI134" s="467">
        <f t="shared" ref="AI134:AI165" ca="1" si="83">AH134*AG134*10</f>
        <v>32.415204678362585</v>
      </c>
      <c r="AJ134" s="458" t="str">
        <f t="shared" ref="AJ134:AJ165" ca="1" si="84">IF(AG134&gt;$AG$2,IF(AH134&gt;$AH$2,"Q1","Q2"),IF(AH134&gt;$AH$2,"Q3","Q4"))</f>
        <v>Q2</v>
      </c>
      <c r="AK134" s="95" t="s">
        <v>360</v>
      </c>
      <c r="AL134" s="572"/>
      <c r="AM134" s="117"/>
      <c r="AN134" s="113"/>
      <c r="AO134" s="113"/>
      <c r="AP134" s="113"/>
      <c r="AQ134" s="121"/>
      <c r="AR134" s="436"/>
      <c r="AS134" s="437"/>
      <c r="AT134" s="437"/>
      <c r="AU134" s="437"/>
      <c r="AV134" s="437"/>
      <c r="AW134" s="94"/>
    </row>
    <row r="135" spans="1:49" ht="36" customHeight="1">
      <c r="A135" s="5">
        <v>90</v>
      </c>
      <c r="B135" s="625">
        <v>232</v>
      </c>
      <c r="C135" s="6" t="s">
        <v>8</v>
      </c>
      <c r="D135" s="371" t="s">
        <v>7</v>
      </c>
      <c r="E135" s="715" t="s">
        <v>1365</v>
      </c>
      <c r="F135" s="20" t="s">
        <v>1366</v>
      </c>
      <c r="G135" s="20" t="s">
        <v>1367</v>
      </c>
      <c r="H135" s="603">
        <v>240000</v>
      </c>
      <c r="I135" s="50">
        <v>3</v>
      </c>
      <c r="J135" s="55">
        <v>0.2</v>
      </c>
      <c r="K135" s="49"/>
      <c r="L135" s="56"/>
      <c r="M135" s="61">
        <v>3</v>
      </c>
      <c r="N135" s="62">
        <v>6.0000000000000036</v>
      </c>
      <c r="O135" s="62">
        <v>4.0000000000000027</v>
      </c>
      <c r="P135" s="62">
        <v>4.0000000000000027</v>
      </c>
      <c r="Q135" s="62">
        <v>8.0000000000000053</v>
      </c>
      <c r="R135" s="62">
        <v>4.0000000000000027</v>
      </c>
      <c r="S135" s="62">
        <v>4</v>
      </c>
      <c r="T135" s="63">
        <v>4.0000000000000027</v>
      </c>
      <c r="U135" s="66" t="e">
        <f t="shared" ca="1" si="69"/>
        <v>#DIV/0!</v>
      </c>
      <c r="V135" s="66">
        <f t="shared" ca="1" si="70"/>
        <v>0.2</v>
      </c>
      <c r="W135" s="70">
        <f t="shared" si="71"/>
        <v>0.47368421052631576</v>
      </c>
      <c r="X135" s="70">
        <f t="shared" si="72"/>
        <v>0.63157894736842146</v>
      </c>
      <c r="Y135" s="70">
        <f t="shared" si="73"/>
        <v>0.56140350877193024</v>
      </c>
      <c r="Z135" s="70">
        <f t="shared" si="74"/>
        <v>0.7017543859649128</v>
      </c>
      <c r="AA135" s="70">
        <f t="shared" si="75"/>
        <v>0.7017543859649128</v>
      </c>
      <c r="AB135" s="70">
        <f t="shared" si="76"/>
        <v>0.4912280701754389</v>
      </c>
      <c r="AC135" s="70">
        <f t="shared" si="77"/>
        <v>0.42105263157894735</v>
      </c>
      <c r="AD135" s="71">
        <f t="shared" si="78"/>
        <v>0.42105263157894762</v>
      </c>
      <c r="AE135" s="72">
        <f t="shared" si="79"/>
        <v>0.7</v>
      </c>
      <c r="AF135" s="72">
        <f t="shared" ca="1" si="80"/>
        <v>0.8</v>
      </c>
      <c r="AG135" s="73">
        <f t="shared" ca="1" si="81"/>
        <v>0.73333333333333339</v>
      </c>
      <c r="AH135" s="456">
        <f t="shared" si="82"/>
        <v>4.4035087719298263</v>
      </c>
      <c r="AI135" s="467">
        <f t="shared" ca="1" si="83"/>
        <v>32.292397660818729</v>
      </c>
      <c r="AJ135" s="458" t="str">
        <f t="shared" ca="1" si="84"/>
        <v>Q4</v>
      </c>
      <c r="AK135" s="95" t="s">
        <v>360</v>
      </c>
      <c r="AL135" s="572"/>
      <c r="AM135" s="117"/>
      <c r="AN135" s="113"/>
      <c r="AO135" s="113"/>
      <c r="AP135" s="113"/>
      <c r="AQ135" s="121"/>
      <c r="AR135" s="436"/>
      <c r="AS135" s="437"/>
      <c r="AT135" s="437"/>
      <c r="AU135" s="437"/>
      <c r="AV135" s="437"/>
      <c r="AW135" s="94"/>
    </row>
    <row r="136" spans="1:49" ht="36" customHeight="1">
      <c r="A136" s="5"/>
      <c r="B136" s="625">
        <v>233</v>
      </c>
      <c r="C136" s="6" t="s">
        <v>8</v>
      </c>
      <c r="D136" s="371" t="s">
        <v>7</v>
      </c>
      <c r="E136" s="715" t="s">
        <v>203</v>
      </c>
      <c r="F136" s="20" t="s">
        <v>1511</v>
      </c>
      <c r="G136" s="20" t="s">
        <v>204</v>
      </c>
      <c r="H136" s="604">
        <v>125000</v>
      </c>
      <c r="I136" s="50">
        <v>3</v>
      </c>
      <c r="J136" s="55">
        <v>0</v>
      </c>
      <c r="K136" s="49"/>
      <c r="L136" s="56"/>
      <c r="M136" s="61">
        <v>2</v>
      </c>
      <c r="N136" s="62">
        <v>4.0000000000000027</v>
      </c>
      <c r="O136" s="62">
        <v>6.0000000000000036</v>
      </c>
      <c r="P136" s="62">
        <v>4.0000000000000027</v>
      </c>
      <c r="Q136" s="62">
        <v>2</v>
      </c>
      <c r="R136" s="62">
        <v>6.0000000000000036</v>
      </c>
      <c r="S136" s="62">
        <v>4</v>
      </c>
      <c r="T136" s="63">
        <v>4</v>
      </c>
      <c r="U136" s="66" t="e">
        <f t="shared" ca="1" si="69"/>
        <v>#DIV/0!</v>
      </c>
      <c r="V136" s="66">
        <f t="shared" ca="1" si="70"/>
        <v>0</v>
      </c>
      <c r="W136" s="70">
        <f t="shared" si="71"/>
        <v>0.31578947368421051</v>
      </c>
      <c r="X136" s="70">
        <f t="shared" si="72"/>
        <v>0.42105263157894762</v>
      </c>
      <c r="Y136" s="70">
        <f t="shared" si="73"/>
        <v>0.84210526315789525</v>
      </c>
      <c r="Z136" s="70">
        <f t="shared" si="74"/>
        <v>0.7017543859649128</v>
      </c>
      <c r="AA136" s="70">
        <f t="shared" si="75"/>
        <v>0.17543859649122806</v>
      </c>
      <c r="AB136" s="70">
        <f t="shared" si="76"/>
        <v>0.73684210526315841</v>
      </c>
      <c r="AC136" s="70">
        <f t="shared" si="77"/>
        <v>0.42105263157894735</v>
      </c>
      <c r="AD136" s="71">
        <f t="shared" si="78"/>
        <v>0.42105263157894735</v>
      </c>
      <c r="AE136" s="72">
        <f t="shared" si="79"/>
        <v>0.7</v>
      </c>
      <c r="AF136" s="72">
        <f t="shared" ca="1" si="80"/>
        <v>1</v>
      </c>
      <c r="AG136" s="73">
        <f t="shared" ca="1" si="81"/>
        <v>0.79999999999999993</v>
      </c>
      <c r="AH136" s="456">
        <f t="shared" si="82"/>
        <v>4.0350877192982475</v>
      </c>
      <c r="AI136" s="467">
        <f t="shared" ca="1" si="83"/>
        <v>32.280701754385973</v>
      </c>
      <c r="AJ136" s="458" t="str">
        <f t="shared" ca="1" si="84"/>
        <v>Q2</v>
      </c>
      <c r="AK136" s="95" t="s">
        <v>360</v>
      </c>
      <c r="AL136" s="111"/>
      <c r="AM136" s="117"/>
      <c r="AN136" s="113"/>
      <c r="AO136" s="113"/>
      <c r="AP136" s="113"/>
      <c r="AQ136" s="121"/>
      <c r="AR136" s="436"/>
      <c r="AS136" s="437"/>
      <c r="AT136" s="437"/>
      <c r="AU136" s="437"/>
      <c r="AV136" s="437"/>
      <c r="AW136" s="94"/>
    </row>
    <row r="137" spans="1:49" ht="36" customHeight="1">
      <c r="A137" s="5">
        <v>273</v>
      </c>
      <c r="B137" s="625">
        <v>234</v>
      </c>
      <c r="C137" s="6" t="s">
        <v>18</v>
      </c>
      <c r="D137" s="371" t="s">
        <v>7</v>
      </c>
      <c r="E137" s="18" t="s">
        <v>240</v>
      </c>
      <c r="F137" s="20" t="s">
        <v>1389</v>
      </c>
      <c r="G137" s="20" t="s">
        <v>241</v>
      </c>
      <c r="H137" s="603">
        <v>176000</v>
      </c>
      <c r="I137" s="50">
        <v>3</v>
      </c>
      <c r="J137" s="55">
        <v>0.3</v>
      </c>
      <c r="K137" s="49"/>
      <c r="L137" s="56"/>
      <c r="M137" s="61">
        <v>6.0000000000000036</v>
      </c>
      <c r="N137" s="62">
        <v>1</v>
      </c>
      <c r="O137" s="62">
        <v>4.0000000000000027</v>
      </c>
      <c r="P137" s="62">
        <v>8.0000000000000053</v>
      </c>
      <c r="Q137" s="62">
        <v>8.0000000000000053</v>
      </c>
      <c r="R137" s="62">
        <v>1</v>
      </c>
      <c r="S137" s="62">
        <v>1</v>
      </c>
      <c r="T137" s="63">
        <v>6.0000000000000036</v>
      </c>
      <c r="U137" s="66" t="e">
        <f t="shared" ca="1" si="69"/>
        <v>#DIV/0!</v>
      </c>
      <c r="V137" s="66">
        <f t="shared" ca="1" si="70"/>
        <v>0.3</v>
      </c>
      <c r="W137" s="70">
        <f t="shared" si="71"/>
        <v>0.94736842105263208</v>
      </c>
      <c r="X137" s="70">
        <f t="shared" si="72"/>
        <v>0.10526315789473684</v>
      </c>
      <c r="Y137" s="70">
        <f t="shared" si="73"/>
        <v>0.56140350877193024</v>
      </c>
      <c r="Z137" s="70">
        <f t="shared" si="74"/>
        <v>1.4035087719298256</v>
      </c>
      <c r="AA137" s="70">
        <f t="shared" si="75"/>
        <v>0.7017543859649128</v>
      </c>
      <c r="AB137" s="70">
        <f t="shared" si="76"/>
        <v>0.12280701754385964</v>
      </c>
      <c r="AC137" s="70">
        <f t="shared" si="77"/>
        <v>0.10526315789473684</v>
      </c>
      <c r="AD137" s="71">
        <f t="shared" si="78"/>
        <v>0.63157894736842146</v>
      </c>
      <c r="AE137" s="72">
        <f t="shared" si="79"/>
        <v>0.7</v>
      </c>
      <c r="AF137" s="72">
        <f t="shared" ca="1" si="80"/>
        <v>0.7</v>
      </c>
      <c r="AG137" s="73">
        <f t="shared" ca="1" si="81"/>
        <v>0.69999999999999984</v>
      </c>
      <c r="AH137" s="456">
        <f t="shared" si="82"/>
        <v>4.5789473684210558</v>
      </c>
      <c r="AI137" s="467">
        <f t="shared" ca="1" si="83"/>
        <v>32.052631578947384</v>
      </c>
      <c r="AJ137" s="458" t="str">
        <f t="shared" ca="1" si="84"/>
        <v>Q4</v>
      </c>
      <c r="AK137" s="95" t="s">
        <v>360</v>
      </c>
      <c r="AL137" s="111"/>
      <c r="AM137" s="117"/>
      <c r="AN137" s="119"/>
      <c r="AO137" s="119"/>
      <c r="AP137" s="113"/>
      <c r="AQ137" s="121"/>
      <c r="AR137" s="436"/>
      <c r="AS137" s="437"/>
      <c r="AT137" s="437"/>
      <c r="AU137" s="437"/>
      <c r="AV137" s="437"/>
      <c r="AW137" s="94"/>
    </row>
    <row r="138" spans="1:49" ht="36" customHeight="1">
      <c r="A138" s="424">
        <v>266</v>
      </c>
      <c r="B138" s="625">
        <v>235</v>
      </c>
      <c r="C138" s="6" t="s">
        <v>6</v>
      </c>
      <c r="D138" s="371" t="s">
        <v>7</v>
      </c>
      <c r="E138" s="7" t="s">
        <v>157</v>
      </c>
      <c r="F138" s="9" t="s">
        <v>158</v>
      </c>
      <c r="G138" s="8"/>
      <c r="H138" s="600">
        <v>280000</v>
      </c>
      <c r="I138" s="49">
        <v>4</v>
      </c>
      <c r="J138" s="55">
        <v>0.2</v>
      </c>
      <c r="K138" s="49"/>
      <c r="L138" s="56"/>
      <c r="M138" s="61">
        <v>4</v>
      </c>
      <c r="N138" s="62">
        <v>6</v>
      </c>
      <c r="O138" s="62">
        <v>6</v>
      </c>
      <c r="P138" s="62">
        <v>4.0000000000000027</v>
      </c>
      <c r="Q138" s="62">
        <v>4</v>
      </c>
      <c r="R138" s="62">
        <v>4.0000000000000027</v>
      </c>
      <c r="S138" s="62">
        <v>5</v>
      </c>
      <c r="T138" s="63">
        <v>6.0000000000000036</v>
      </c>
      <c r="U138" s="66" t="e">
        <f t="shared" ca="1" si="69"/>
        <v>#DIV/0!</v>
      </c>
      <c r="V138" s="66">
        <f t="shared" ca="1" si="70"/>
        <v>0.2</v>
      </c>
      <c r="W138" s="70">
        <f t="shared" si="71"/>
        <v>0.63157894736842102</v>
      </c>
      <c r="X138" s="70">
        <f t="shared" si="72"/>
        <v>0.63157894736842102</v>
      </c>
      <c r="Y138" s="70">
        <f t="shared" si="73"/>
        <v>0.84210526315789469</v>
      </c>
      <c r="Z138" s="70">
        <f t="shared" si="74"/>
        <v>0.7017543859649128</v>
      </c>
      <c r="AA138" s="70">
        <f t="shared" si="75"/>
        <v>0.35087719298245612</v>
      </c>
      <c r="AB138" s="70">
        <f t="shared" si="76"/>
        <v>0.4912280701754389</v>
      </c>
      <c r="AC138" s="70">
        <f t="shared" si="77"/>
        <v>0.52631578947368418</v>
      </c>
      <c r="AD138" s="71">
        <f t="shared" si="78"/>
        <v>0.63157894736842146</v>
      </c>
      <c r="AE138" s="72">
        <f t="shared" si="79"/>
        <v>0.6</v>
      </c>
      <c r="AF138" s="72">
        <f t="shared" ca="1" si="80"/>
        <v>0.8</v>
      </c>
      <c r="AG138" s="73">
        <f t="shared" ca="1" si="81"/>
        <v>0.66666666666666663</v>
      </c>
      <c r="AH138" s="456">
        <f t="shared" si="82"/>
        <v>4.8070175438596499</v>
      </c>
      <c r="AI138" s="467">
        <f t="shared" ca="1" si="83"/>
        <v>32.046783625730995</v>
      </c>
      <c r="AJ138" s="458" t="str">
        <f t="shared" ca="1" si="84"/>
        <v>Q4</v>
      </c>
      <c r="AK138" s="93" t="s">
        <v>360</v>
      </c>
      <c r="AL138" s="110"/>
      <c r="AM138" s="117"/>
      <c r="AN138" s="113"/>
      <c r="AO138" s="113"/>
      <c r="AP138" s="113"/>
      <c r="AQ138" s="121"/>
      <c r="AR138" s="436"/>
      <c r="AS138" s="437"/>
      <c r="AT138" s="437"/>
      <c r="AU138" s="437"/>
      <c r="AV138" s="437"/>
      <c r="AW138" s="94"/>
    </row>
    <row r="139" spans="1:49" ht="36" customHeight="1">
      <c r="A139" s="5">
        <v>293</v>
      </c>
      <c r="B139" s="625">
        <v>236</v>
      </c>
      <c r="C139" s="6" t="s">
        <v>12</v>
      </c>
      <c r="D139" s="371" t="s">
        <v>418</v>
      </c>
      <c r="E139" s="12" t="s">
        <v>264</v>
      </c>
      <c r="F139" s="22" t="s">
        <v>1471</v>
      </c>
      <c r="G139" s="127" t="s">
        <v>265</v>
      </c>
      <c r="H139" s="603">
        <v>600000</v>
      </c>
      <c r="I139" s="50">
        <v>5</v>
      </c>
      <c r="J139" s="55">
        <v>0.7</v>
      </c>
      <c r="K139" s="49"/>
      <c r="L139" s="56"/>
      <c r="M139" s="61">
        <v>9.9999999999999982</v>
      </c>
      <c r="N139" s="62">
        <v>9.9999999999999982</v>
      </c>
      <c r="O139" s="62">
        <v>6.0000000000000036</v>
      </c>
      <c r="P139" s="62">
        <v>9.9999999999999982</v>
      </c>
      <c r="Q139" s="62">
        <v>1</v>
      </c>
      <c r="R139" s="62">
        <v>9.9999999999999982</v>
      </c>
      <c r="S139" s="62">
        <v>0</v>
      </c>
      <c r="T139" s="63">
        <v>8.0000000000000053</v>
      </c>
      <c r="U139" s="66" t="e">
        <f t="shared" ca="1" si="69"/>
        <v>#DIV/0!</v>
      </c>
      <c r="V139" s="66">
        <f t="shared" ca="1" si="70"/>
        <v>0.7</v>
      </c>
      <c r="W139" s="70">
        <f t="shared" si="71"/>
        <v>1.5789473684210524</v>
      </c>
      <c r="X139" s="70">
        <f t="shared" si="72"/>
        <v>1.0526315789473681</v>
      </c>
      <c r="Y139" s="70">
        <f t="shared" si="73"/>
        <v>0.84210526315789525</v>
      </c>
      <c r="Z139" s="70">
        <f t="shared" si="74"/>
        <v>1.7543859649122804</v>
      </c>
      <c r="AA139" s="70">
        <f t="shared" si="75"/>
        <v>8.771929824561403E-2</v>
      </c>
      <c r="AB139" s="70">
        <f t="shared" si="76"/>
        <v>1.2280701754385963</v>
      </c>
      <c r="AC139" s="70">
        <f t="shared" si="77"/>
        <v>0</v>
      </c>
      <c r="AD139" s="71">
        <f t="shared" si="78"/>
        <v>0.84210526315789525</v>
      </c>
      <c r="AE139" s="72">
        <f t="shared" si="79"/>
        <v>0.5</v>
      </c>
      <c r="AF139" s="72">
        <f t="shared" ca="1" si="80"/>
        <v>0.30000000000000004</v>
      </c>
      <c r="AG139" s="73">
        <f t="shared" ca="1" si="81"/>
        <v>0.43333333333333335</v>
      </c>
      <c r="AH139" s="456">
        <f t="shared" si="82"/>
        <v>7.3859649122807021</v>
      </c>
      <c r="AI139" s="467">
        <f t="shared" ca="1" si="83"/>
        <v>32.005847953216374</v>
      </c>
      <c r="AJ139" s="458" t="str">
        <f t="shared" ca="1" si="84"/>
        <v>Q3</v>
      </c>
      <c r="AK139" s="95" t="s">
        <v>360</v>
      </c>
      <c r="AL139" s="111"/>
      <c r="AM139" s="117"/>
      <c r="AN139" s="113"/>
      <c r="AO139" s="113"/>
      <c r="AP139" s="113"/>
      <c r="AQ139" s="121"/>
      <c r="AR139" s="438"/>
      <c r="AS139" s="437"/>
      <c r="AT139" s="437"/>
      <c r="AU139" s="437"/>
      <c r="AV139" s="437"/>
      <c r="AW139" s="94"/>
    </row>
    <row r="140" spans="1:49" ht="36" customHeight="1">
      <c r="A140" s="5"/>
      <c r="B140" s="625">
        <v>237</v>
      </c>
      <c r="C140" s="6" t="s">
        <v>6</v>
      </c>
      <c r="D140" s="371" t="s">
        <v>7</v>
      </c>
      <c r="E140" s="7" t="s">
        <v>244</v>
      </c>
      <c r="F140" s="9" t="s">
        <v>1359</v>
      </c>
      <c r="G140" s="8"/>
      <c r="H140" s="600">
        <v>350000</v>
      </c>
      <c r="I140" s="49">
        <v>4</v>
      </c>
      <c r="J140" s="55">
        <v>0.3</v>
      </c>
      <c r="K140" s="49"/>
      <c r="L140" s="56"/>
      <c r="M140" s="61">
        <v>5</v>
      </c>
      <c r="N140" s="62">
        <v>8.0000000000000053</v>
      </c>
      <c r="O140" s="62">
        <v>4.0000000000000027</v>
      </c>
      <c r="P140" s="62">
        <v>6.0000000000000036</v>
      </c>
      <c r="Q140" s="62">
        <v>1</v>
      </c>
      <c r="R140" s="62">
        <v>8</v>
      </c>
      <c r="S140" s="62">
        <v>0</v>
      </c>
      <c r="T140" s="63">
        <v>7</v>
      </c>
      <c r="U140" s="66" t="e">
        <f t="shared" ca="1" si="69"/>
        <v>#DIV/0!</v>
      </c>
      <c r="V140" s="66">
        <f t="shared" ca="1" si="70"/>
        <v>0.3</v>
      </c>
      <c r="W140" s="70">
        <f t="shared" si="71"/>
        <v>0.78947368421052633</v>
      </c>
      <c r="X140" s="70">
        <f t="shared" si="72"/>
        <v>0.84210526315789525</v>
      </c>
      <c r="Y140" s="70">
        <f t="shared" si="73"/>
        <v>0.56140350877193024</v>
      </c>
      <c r="Z140" s="70">
        <f t="shared" si="74"/>
        <v>1.052631578947369</v>
      </c>
      <c r="AA140" s="70">
        <f t="shared" si="75"/>
        <v>8.771929824561403E-2</v>
      </c>
      <c r="AB140" s="70">
        <f t="shared" si="76"/>
        <v>0.98245614035087714</v>
      </c>
      <c r="AC140" s="70">
        <f t="shared" si="77"/>
        <v>0</v>
      </c>
      <c r="AD140" s="71">
        <f t="shared" si="78"/>
        <v>0.73684210526315785</v>
      </c>
      <c r="AE140" s="72">
        <f t="shared" si="79"/>
        <v>0.6</v>
      </c>
      <c r="AF140" s="72">
        <f t="shared" ca="1" si="80"/>
        <v>0.7</v>
      </c>
      <c r="AG140" s="73">
        <f t="shared" ca="1" si="81"/>
        <v>0.6333333333333333</v>
      </c>
      <c r="AH140" s="456">
        <f t="shared" si="82"/>
        <v>5.0526315789473699</v>
      </c>
      <c r="AI140" s="467">
        <f t="shared" ca="1" si="83"/>
        <v>32.000000000000007</v>
      </c>
      <c r="AJ140" s="458" t="str">
        <f t="shared" ca="1" si="84"/>
        <v>Q4</v>
      </c>
      <c r="AK140" s="91" t="s">
        <v>360</v>
      </c>
      <c r="AL140" s="570"/>
      <c r="AM140" s="117"/>
      <c r="AN140" s="113"/>
      <c r="AO140" s="113"/>
      <c r="AP140" s="113"/>
      <c r="AQ140" s="121"/>
      <c r="AR140" s="436"/>
      <c r="AS140" s="437"/>
      <c r="AT140" s="437"/>
      <c r="AU140" s="437"/>
      <c r="AV140" s="437"/>
      <c r="AW140" s="94"/>
    </row>
    <row r="141" spans="1:49" ht="36" customHeight="1">
      <c r="A141" s="5">
        <v>221</v>
      </c>
      <c r="B141" s="625">
        <v>238</v>
      </c>
      <c r="C141" s="6" t="s">
        <v>53</v>
      </c>
      <c r="D141" s="371" t="s">
        <v>7</v>
      </c>
      <c r="E141" s="18" t="s">
        <v>260</v>
      </c>
      <c r="F141" s="8" t="s">
        <v>1270</v>
      </c>
      <c r="G141" s="20" t="s">
        <v>261</v>
      </c>
      <c r="H141" s="603">
        <v>193000</v>
      </c>
      <c r="I141" s="50">
        <v>5</v>
      </c>
      <c r="J141" s="55">
        <v>0.2</v>
      </c>
      <c r="K141" s="49"/>
      <c r="L141" s="56"/>
      <c r="M141" s="61">
        <v>8.0000000000000053</v>
      </c>
      <c r="N141" s="62">
        <v>1</v>
      </c>
      <c r="O141" s="62">
        <v>8.0000000000000053</v>
      </c>
      <c r="P141" s="62">
        <v>6.0000000000000036</v>
      </c>
      <c r="Q141" s="62">
        <v>8.0000000000000053</v>
      </c>
      <c r="R141" s="62">
        <v>1</v>
      </c>
      <c r="S141" s="62">
        <v>3</v>
      </c>
      <c r="T141" s="63">
        <v>6.0000000000000036</v>
      </c>
      <c r="U141" s="66" t="e">
        <f t="shared" ca="1" si="69"/>
        <v>#DIV/0!</v>
      </c>
      <c r="V141" s="66">
        <f t="shared" ca="1" si="70"/>
        <v>0.2</v>
      </c>
      <c r="W141" s="70">
        <f t="shared" si="71"/>
        <v>1.2631578947368429</v>
      </c>
      <c r="X141" s="70">
        <f t="shared" si="72"/>
        <v>0.10526315789473684</v>
      </c>
      <c r="Y141" s="70">
        <f t="shared" si="73"/>
        <v>1.1228070175438605</v>
      </c>
      <c r="Z141" s="70">
        <f t="shared" si="74"/>
        <v>1.052631578947369</v>
      </c>
      <c r="AA141" s="70">
        <f t="shared" si="75"/>
        <v>0.7017543859649128</v>
      </c>
      <c r="AB141" s="70">
        <f t="shared" si="76"/>
        <v>0.12280701754385964</v>
      </c>
      <c r="AC141" s="70">
        <f t="shared" si="77"/>
        <v>0.31578947368421051</v>
      </c>
      <c r="AD141" s="71">
        <f t="shared" si="78"/>
        <v>0.63157894736842146</v>
      </c>
      <c r="AE141" s="72">
        <f t="shared" si="79"/>
        <v>0.5</v>
      </c>
      <c r="AF141" s="72">
        <f t="shared" ca="1" si="80"/>
        <v>0.8</v>
      </c>
      <c r="AG141" s="73">
        <f t="shared" ca="1" si="81"/>
        <v>0.6</v>
      </c>
      <c r="AH141" s="456">
        <f t="shared" si="82"/>
        <v>5.3157894736842133</v>
      </c>
      <c r="AI141" s="467">
        <f t="shared" ca="1" si="83"/>
        <v>31.894736842105278</v>
      </c>
      <c r="AJ141" s="458" t="str">
        <f t="shared" ca="1" si="84"/>
        <v>Q4</v>
      </c>
      <c r="AK141" s="95" t="s">
        <v>360</v>
      </c>
      <c r="AL141" s="111"/>
      <c r="AM141" s="117"/>
      <c r="AN141" s="113"/>
      <c r="AO141" s="113"/>
      <c r="AP141" s="113"/>
      <c r="AQ141" s="121"/>
      <c r="AR141" s="436"/>
      <c r="AS141" s="437"/>
      <c r="AT141" s="437"/>
      <c r="AU141" s="437"/>
      <c r="AV141" s="437"/>
      <c r="AW141" s="94"/>
    </row>
    <row r="142" spans="1:49" ht="36" customHeight="1">
      <c r="A142" s="5">
        <v>117</v>
      </c>
      <c r="B142" s="625">
        <v>239</v>
      </c>
      <c r="C142" s="6" t="s">
        <v>20</v>
      </c>
      <c r="D142" s="371" t="s">
        <v>7</v>
      </c>
      <c r="E142" s="18" t="s">
        <v>250</v>
      </c>
      <c r="F142" s="19" t="s">
        <v>251</v>
      </c>
      <c r="G142" s="20" t="s">
        <v>252</v>
      </c>
      <c r="H142" s="603">
        <v>80000</v>
      </c>
      <c r="I142" s="50">
        <v>3</v>
      </c>
      <c r="J142" s="55">
        <v>0</v>
      </c>
      <c r="K142" s="49"/>
      <c r="L142" s="56"/>
      <c r="M142" s="61">
        <v>6.0000000000000036</v>
      </c>
      <c r="N142" s="62">
        <v>1</v>
      </c>
      <c r="O142" s="62">
        <v>6.0000000000000036</v>
      </c>
      <c r="P142" s="62">
        <v>4.0000000000000027</v>
      </c>
      <c r="Q142" s="62">
        <v>6.0000000000000036</v>
      </c>
      <c r="R142" s="62">
        <v>1</v>
      </c>
      <c r="S142" s="62">
        <v>1</v>
      </c>
      <c r="T142" s="63">
        <v>6.0000000000000036</v>
      </c>
      <c r="U142" s="66" t="e">
        <f t="shared" ca="1" si="69"/>
        <v>#DIV/0!</v>
      </c>
      <c r="V142" s="66">
        <f t="shared" ca="1" si="70"/>
        <v>0</v>
      </c>
      <c r="W142" s="70">
        <f t="shared" si="71"/>
        <v>0.94736842105263208</v>
      </c>
      <c r="X142" s="70">
        <f t="shared" si="72"/>
        <v>0.10526315789473684</v>
      </c>
      <c r="Y142" s="70">
        <f t="shared" si="73"/>
        <v>0.84210526315789525</v>
      </c>
      <c r="Z142" s="70">
        <f t="shared" si="74"/>
        <v>0.7017543859649128</v>
      </c>
      <c r="AA142" s="70">
        <f t="shared" si="75"/>
        <v>0.52631578947368451</v>
      </c>
      <c r="AB142" s="70">
        <f t="shared" si="76"/>
        <v>0.12280701754385964</v>
      </c>
      <c r="AC142" s="70">
        <f t="shared" si="77"/>
        <v>0.10526315789473684</v>
      </c>
      <c r="AD142" s="71">
        <f t="shared" si="78"/>
        <v>0.63157894736842146</v>
      </c>
      <c r="AE142" s="72">
        <f t="shared" si="79"/>
        <v>0.7</v>
      </c>
      <c r="AF142" s="72">
        <f t="shared" ca="1" si="80"/>
        <v>1</v>
      </c>
      <c r="AG142" s="73">
        <f t="shared" ca="1" si="81"/>
        <v>0.79999999999999993</v>
      </c>
      <c r="AH142" s="456">
        <f t="shared" si="82"/>
        <v>3.9824561403508794</v>
      </c>
      <c r="AI142" s="467">
        <f t="shared" ca="1" si="83"/>
        <v>31.859649122807031</v>
      </c>
      <c r="AJ142" s="458" t="str">
        <f t="shared" ca="1" si="84"/>
        <v>Q2</v>
      </c>
      <c r="AK142" s="95" t="s">
        <v>360</v>
      </c>
      <c r="AL142" s="573"/>
      <c r="AM142" s="117"/>
      <c r="AN142" s="113"/>
      <c r="AO142" s="113"/>
      <c r="AP142" s="113"/>
      <c r="AQ142" s="121"/>
      <c r="AR142" s="436"/>
      <c r="AS142" s="437"/>
      <c r="AT142" s="437"/>
      <c r="AU142" s="437"/>
      <c r="AV142" s="437"/>
      <c r="AW142" s="94"/>
    </row>
    <row r="143" spans="1:49" ht="36" customHeight="1">
      <c r="A143" s="5">
        <v>29</v>
      </c>
      <c r="B143" s="625">
        <v>240</v>
      </c>
      <c r="C143" s="6" t="s">
        <v>18</v>
      </c>
      <c r="D143" s="371" t="s">
        <v>418</v>
      </c>
      <c r="E143" s="12" t="s">
        <v>1472</v>
      </c>
      <c r="F143" s="645" t="s">
        <v>219</v>
      </c>
      <c r="G143" s="112" t="s">
        <v>220</v>
      </c>
      <c r="H143" s="600">
        <v>75000</v>
      </c>
      <c r="I143" s="50">
        <v>3</v>
      </c>
      <c r="J143" s="55">
        <v>0.4</v>
      </c>
      <c r="K143" s="49"/>
      <c r="L143" s="56"/>
      <c r="M143" s="61">
        <v>6.0000000000000036</v>
      </c>
      <c r="N143" s="62">
        <v>6.0000000000000036</v>
      </c>
      <c r="O143" s="62">
        <v>4.0000000000000027</v>
      </c>
      <c r="P143" s="62">
        <v>6.0000000000000036</v>
      </c>
      <c r="Q143" s="62">
        <v>4.0000000000000027</v>
      </c>
      <c r="R143" s="62">
        <v>4.0000000000000027</v>
      </c>
      <c r="S143" s="62">
        <v>1</v>
      </c>
      <c r="T143" s="63">
        <v>6.0000000000000036</v>
      </c>
      <c r="U143" s="66" t="e">
        <f t="shared" ca="1" si="69"/>
        <v>#DIV/0!</v>
      </c>
      <c r="V143" s="66">
        <f t="shared" ca="1" si="70"/>
        <v>0.4</v>
      </c>
      <c r="W143" s="70">
        <f t="shared" si="71"/>
        <v>0.94736842105263208</v>
      </c>
      <c r="X143" s="70">
        <f t="shared" si="72"/>
        <v>0.63157894736842146</v>
      </c>
      <c r="Y143" s="70">
        <f t="shared" si="73"/>
        <v>0.56140350877193024</v>
      </c>
      <c r="Z143" s="70">
        <f t="shared" si="74"/>
        <v>1.052631578947369</v>
      </c>
      <c r="AA143" s="70">
        <f t="shared" si="75"/>
        <v>0.3508771929824564</v>
      </c>
      <c r="AB143" s="70">
        <f t="shared" si="76"/>
        <v>0.4912280701754389</v>
      </c>
      <c r="AC143" s="70">
        <f t="shared" si="77"/>
        <v>0.10526315789473684</v>
      </c>
      <c r="AD143" s="71">
        <f t="shared" si="78"/>
        <v>0.63157894736842146</v>
      </c>
      <c r="AE143" s="72">
        <f t="shared" si="79"/>
        <v>0.7</v>
      </c>
      <c r="AF143" s="72">
        <f t="shared" ca="1" si="80"/>
        <v>0.6</v>
      </c>
      <c r="AG143" s="73">
        <f t="shared" ca="1" si="81"/>
        <v>0.66666666666666663</v>
      </c>
      <c r="AH143" s="456">
        <f t="shared" si="82"/>
        <v>4.7719298245614068</v>
      </c>
      <c r="AI143" s="467">
        <f t="shared" ca="1" si="83"/>
        <v>31.812865497076043</v>
      </c>
      <c r="AJ143" s="458" t="str">
        <f t="shared" ca="1" si="84"/>
        <v>Q4</v>
      </c>
      <c r="AK143" s="95" t="s">
        <v>360</v>
      </c>
      <c r="AL143" s="572"/>
      <c r="AM143" s="117"/>
      <c r="AN143" s="113"/>
      <c r="AO143" s="113"/>
      <c r="AP143" s="113"/>
      <c r="AQ143" s="121"/>
      <c r="AR143" s="436"/>
      <c r="AS143" s="437"/>
      <c r="AT143" s="437"/>
      <c r="AU143" s="437"/>
      <c r="AV143" s="437"/>
      <c r="AW143" s="94"/>
    </row>
    <row r="144" spans="1:49" ht="36" customHeight="1">
      <c r="A144" s="5">
        <v>302</v>
      </c>
      <c r="B144" s="625">
        <v>241</v>
      </c>
      <c r="C144" s="6" t="s">
        <v>6</v>
      </c>
      <c r="D144" s="371" t="s">
        <v>7</v>
      </c>
      <c r="E144" s="7" t="s">
        <v>425</v>
      </c>
      <c r="F144" s="9" t="s">
        <v>435</v>
      </c>
      <c r="G144" s="8"/>
      <c r="H144" s="600">
        <v>700000</v>
      </c>
      <c r="I144" s="50">
        <v>4</v>
      </c>
      <c r="J144" s="55">
        <v>0.2</v>
      </c>
      <c r="K144" s="49"/>
      <c r="L144" s="56"/>
      <c r="M144" s="61">
        <v>4</v>
      </c>
      <c r="N144" s="62">
        <v>6</v>
      </c>
      <c r="O144" s="62">
        <v>4</v>
      </c>
      <c r="P144" s="62">
        <v>4</v>
      </c>
      <c r="Q144" s="62">
        <v>4</v>
      </c>
      <c r="R144" s="62">
        <v>5</v>
      </c>
      <c r="S144" s="62">
        <v>4</v>
      </c>
      <c r="T144" s="63">
        <v>8</v>
      </c>
      <c r="U144" s="66" t="e">
        <f t="shared" ca="1" si="69"/>
        <v>#DIV/0!</v>
      </c>
      <c r="V144" s="66">
        <f t="shared" ca="1" si="70"/>
        <v>0.2</v>
      </c>
      <c r="W144" s="70">
        <f t="shared" si="71"/>
        <v>0.63157894736842102</v>
      </c>
      <c r="X144" s="70">
        <f t="shared" si="72"/>
        <v>0.63157894736842102</v>
      </c>
      <c r="Y144" s="70">
        <f t="shared" si="73"/>
        <v>0.56140350877192979</v>
      </c>
      <c r="Z144" s="70">
        <f t="shared" si="74"/>
        <v>0.70175438596491224</v>
      </c>
      <c r="AA144" s="70">
        <f t="shared" si="75"/>
        <v>0.35087719298245612</v>
      </c>
      <c r="AB144" s="70">
        <f t="shared" si="76"/>
        <v>0.61403508771929827</v>
      </c>
      <c r="AC144" s="70">
        <f t="shared" si="77"/>
        <v>0.42105263157894735</v>
      </c>
      <c r="AD144" s="71">
        <f t="shared" si="78"/>
        <v>0.84210526315789469</v>
      </c>
      <c r="AE144" s="72">
        <f t="shared" si="79"/>
        <v>0.6</v>
      </c>
      <c r="AF144" s="72">
        <f t="shared" ca="1" si="80"/>
        <v>0.8</v>
      </c>
      <c r="AG144" s="73">
        <f t="shared" ca="1" si="81"/>
        <v>0.66666666666666663</v>
      </c>
      <c r="AH144" s="456">
        <f t="shared" si="82"/>
        <v>4.7543859649122808</v>
      </c>
      <c r="AI144" s="467">
        <f t="shared" ca="1" si="83"/>
        <v>31.695906432748536</v>
      </c>
      <c r="AJ144" s="458" t="str">
        <f t="shared" ca="1" si="84"/>
        <v>Q4</v>
      </c>
      <c r="AK144" s="93" t="s">
        <v>360</v>
      </c>
      <c r="AL144" s="571"/>
      <c r="AM144" s="117"/>
      <c r="AN144" s="113"/>
      <c r="AO144" s="113"/>
      <c r="AP144" s="113"/>
      <c r="AQ144" s="121"/>
      <c r="AR144" s="436"/>
      <c r="AS144" s="437"/>
      <c r="AT144" s="437"/>
      <c r="AU144" s="437"/>
      <c r="AV144" s="437"/>
      <c r="AW144" s="94"/>
    </row>
    <row r="145" spans="1:49" ht="36" customHeight="1">
      <c r="A145" s="424">
        <v>176</v>
      </c>
      <c r="B145" s="625">
        <v>242</v>
      </c>
      <c r="C145" s="6" t="s">
        <v>18</v>
      </c>
      <c r="D145" s="371" t="s">
        <v>7</v>
      </c>
      <c r="E145" s="18" t="s">
        <v>1374</v>
      </c>
      <c r="F145" s="20" t="s">
        <v>1512</v>
      </c>
      <c r="G145" s="20" t="s">
        <v>169</v>
      </c>
      <c r="H145" s="603">
        <v>114500</v>
      </c>
      <c r="I145" s="50">
        <v>4</v>
      </c>
      <c r="J145" s="55">
        <v>0.3</v>
      </c>
      <c r="K145" s="49"/>
      <c r="L145" s="56"/>
      <c r="M145" s="61">
        <v>4.0000000000000027</v>
      </c>
      <c r="N145" s="62">
        <v>6.0000000000000036</v>
      </c>
      <c r="O145" s="62">
        <v>4.0000000000000027</v>
      </c>
      <c r="P145" s="62">
        <v>8.0000000000000053</v>
      </c>
      <c r="Q145" s="62">
        <v>4.0000000000000027</v>
      </c>
      <c r="R145" s="62">
        <v>6.0000000000000036</v>
      </c>
      <c r="S145" s="62">
        <v>0</v>
      </c>
      <c r="T145" s="63">
        <v>6.0000000000000036</v>
      </c>
      <c r="U145" s="66" t="e">
        <f t="shared" ca="1" si="69"/>
        <v>#DIV/0!</v>
      </c>
      <c r="V145" s="66">
        <f t="shared" ca="1" si="70"/>
        <v>0.3</v>
      </c>
      <c r="W145" s="70">
        <f t="shared" si="71"/>
        <v>0.63157894736842146</v>
      </c>
      <c r="X145" s="70">
        <f t="shared" si="72"/>
        <v>0.63157894736842146</v>
      </c>
      <c r="Y145" s="70">
        <f t="shared" si="73"/>
        <v>0.56140350877193024</v>
      </c>
      <c r="Z145" s="70">
        <f t="shared" si="74"/>
        <v>1.4035087719298256</v>
      </c>
      <c r="AA145" s="70">
        <f t="shared" si="75"/>
        <v>0.3508771929824564</v>
      </c>
      <c r="AB145" s="70">
        <f t="shared" si="76"/>
        <v>0.73684210526315841</v>
      </c>
      <c r="AC145" s="70">
        <f t="shared" si="77"/>
        <v>0</v>
      </c>
      <c r="AD145" s="71">
        <f t="shared" si="78"/>
        <v>0.63157894736842146</v>
      </c>
      <c r="AE145" s="72">
        <f t="shared" si="79"/>
        <v>0.6</v>
      </c>
      <c r="AF145" s="72">
        <f t="shared" ca="1" si="80"/>
        <v>0.7</v>
      </c>
      <c r="AG145" s="73">
        <f t="shared" ca="1" si="81"/>
        <v>0.6333333333333333</v>
      </c>
      <c r="AH145" s="456">
        <f t="shared" si="82"/>
        <v>4.9473684210526345</v>
      </c>
      <c r="AI145" s="467">
        <f t="shared" ca="1" si="83"/>
        <v>31.33333333333335</v>
      </c>
      <c r="AJ145" s="458" t="str">
        <f t="shared" ca="1" si="84"/>
        <v>Q4</v>
      </c>
      <c r="AK145" s="95" t="s">
        <v>360</v>
      </c>
      <c r="AL145" s="111"/>
      <c r="AM145" s="117"/>
      <c r="AN145" s="113"/>
      <c r="AO145" s="113"/>
      <c r="AP145" s="113"/>
      <c r="AQ145" s="121"/>
      <c r="AR145" s="436"/>
      <c r="AS145" s="437"/>
      <c r="AT145" s="437"/>
      <c r="AU145" s="437"/>
      <c r="AV145" s="437"/>
      <c r="AW145" s="94"/>
    </row>
    <row r="146" spans="1:49" ht="36" customHeight="1">
      <c r="A146" s="424"/>
      <c r="B146" s="625">
        <v>243</v>
      </c>
      <c r="C146" s="6" t="s">
        <v>53</v>
      </c>
      <c r="D146" s="371" t="s">
        <v>7</v>
      </c>
      <c r="E146" s="18" t="s">
        <v>1395</v>
      </c>
      <c r="F146" s="20" t="s">
        <v>84</v>
      </c>
      <c r="G146" s="20" t="s">
        <v>85</v>
      </c>
      <c r="H146" s="603">
        <v>100000</v>
      </c>
      <c r="I146" s="50">
        <v>3</v>
      </c>
      <c r="J146" s="55">
        <v>0.3</v>
      </c>
      <c r="K146" s="49"/>
      <c r="L146" s="56"/>
      <c r="M146" s="61">
        <v>5</v>
      </c>
      <c r="N146" s="62">
        <v>4.0000000000000027</v>
      </c>
      <c r="O146" s="62">
        <v>4.0000000000000027</v>
      </c>
      <c r="P146" s="62">
        <v>6.0000000000000036</v>
      </c>
      <c r="Q146" s="62">
        <v>6.0000000000000036</v>
      </c>
      <c r="R146" s="62">
        <v>4.0000000000000027</v>
      </c>
      <c r="S146" s="62">
        <v>0</v>
      </c>
      <c r="T146" s="63">
        <v>6.0000000000000036</v>
      </c>
      <c r="U146" s="66" t="e">
        <f t="shared" ca="1" si="69"/>
        <v>#DIV/0!</v>
      </c>
      <c r="V146" s="66">
        <f t="shared" ca="1" si="70"/>
        <v>0.3</v>
      </c>
      <c r="W146" s="70">
        <f t="shared" si="71"/>
        <v>0.78947368421052633</v>
      </c>
      <c r="X146" s="70">
        <f t="shared" si="72"/>
        <v>0.42105263157894762</v>
      </c>
      <c r="Y146" s="70">
        <f t="shared" si="73"/>
        <v>0.56140350877193024</v>
      </c>
      <c r="Z146" s="70">
        <f t="shared" si="74"/>
        <v>1.052631578947369</v>
      </c>
      <c r="AA146" s="70">
        <f t="shared" si="75"/>
        <v>0.52631578947368451</v>
      </c>
      <c r="AB146" s="70">
        <f t="shared" si="76"/>
        <v>0.4912280701754389</v>
      </c>
      <c r="AC146" s="70">
        <f t="shared" si="77"/>
        <v>0</v>
      </c>
      <c r="AD146" s="71">
        <f t="shared" si="78"/>
        <v>0.63157894736842146</v>
      </c>
      <c r="AE146" s="72">
        <f t="shared" si="79"/>
        <v>0.7</v>
      </c>
      <c r="AF146" s="72">
        <f t="shared" ca="1" si="80"/>
        <v>0.7</v>
      </c>
      <c r="AG146" s="73">
        <f t="shared" ca="1" si="81"/>
        <v>0.69999999999999984</v>
      </c>
      <c r="AH146" s="456">
        <f t="shared" si="82"/>
        <v>4.4736842105263177</v>
      </c>
      <c r="AI146" s="467">
        <f t="shared" ca="1" si="83"/>
        <v>31.315789473684216</v>
      </c>
      <c r="AJ146" s="458" t="str">
        <f t="shared" ca="1" si="84"/>
        <v>Q4</v>
      </c>
      <c r="AK146" s="95" t="s">
        <v>360</v>
      </c>
      <c r="AL146" s="573"/>
      <c r="AM146" s="117"/>
      <c r="AN146" s="113"/>
      <c r="AO146" s="113"/>
      <c r="AP146" s="113"/>
      <c r="AQ146" s="121"/>
      <c r="AR146" s="436"/>
      <c r="AS146" s="437"/>
      <c r="AT146" s="437"/>
      <c r="AU146" s="437"/>
      <c r="AV146" s="437"/>
      <c r="AW146" s="94"/>
    </row>
    <row r="147" spans="1:49" ht="36" customHeight="1">
      <c r="A147" s="424">
        <v>156</v>
      </c>
      <c r="B147" s="625">
        <v>244</v>
      </c>
      <c r="C147" s="6" t="s">
        <v>20</v>
      </c>
      <c r="D147" s="371" t="s">
        <v>7</v>
      </c>
      <c r="E147" s="18" t="s">
        <v>280</v>
      </c>
      <c r="F147" s="20" t="s">
        <v>1355</v>
      </c>
      <c r="G147" s="20" t="s">
        <v>281</v>
      </c>
      <c r="H147" s="603">
        <v>169000</v>
      </c>
      <c r="I147" s="50">
        <v>3</v>
      </c>
      <c r="J147" s="55">
        <v>0</v>
      </c>
      <c r="K147" s="49"/>
      <c r="L147" s="56"/>
      <c r="M147" s="61">
        <v>4.0000000000000027</v>
      </c>
      <c r="N147" s="62">
        <v>1</v>
      </c>
      <c r="O147" s="62">
        <v>4.0000000000000027</v>
      </c>
      <c r="P147" s="62">
        <v>8.0000000000000053</v>
      </c>
      <c r="Q147" s="62">
        <v>4.0000000000000027</v>
      </c>
      <c r="R147" s="62">
        <v>1</v>
      </c>
      <c r="S147" s="62">
        <v>3</v>
      </c>
      <c r="T147" s="63">
        <v>4.0000000000000027</v>
      </c>
      <c r="U147" s="66" t="e">
        <f t="shared" ca="1" si="69"/>
        <v>#DIV/0!</v>
      </c>
      <c r="V147" s="66">
        <f t="shared" ca="1" si="70"/>
        <v>0</v>
      </c>
      <c r="W147" s="70">
        <f t="shared" si="71"/>
        <v>0.63157894736842146</v>
      </c>
      <c r="X147" s="70">
        <f t="shared" si="72"/>
        <v>0.10526315789473684</v>
      </c>
      <c r="Y147" s="70">
        <f t="shared" si="73"/>
        <v>0.56140350877193024</v>
      </c>
      <c r="Z147" s="70">
        <f t="shared" si="74"/>
        <v>1.4035087719298256</v>
      </c>
      <c r="AA147" s="70">
        <f t="shared" si="75"/>
        <v>0.3508771929824564</v>
      </c>
      <c r="AB147" s="70">
        <f t="shared" si="76"/>
        <v>0.12280701754385964</v>
      </c>
      <c r="AC147" s="70">
        <f t="shared" si="77"/>
        <v>0.31578947368421051</v>
      </c>
      <c r="AD147" s="71">
        <f t="shared" si="78"/>
        <v>0.42105263157894762</v>
      </c>
      <c r="AE147" s="72">
        <f t="shared" si="79"/>
        <v>0.7</v>
      </c>
      <c r="AF147" s="72">
        <f t="shared" ca="1" si="80"/>
        <v>1</v>
      </c>
      <c r="AG147" s="73">
        <f t="shared" ca="1" si="81"/>
        <v>0.79999999999999993</v>
      </c>
      <c r="AH147" s="456">
        <f t="shared" si="82"/>
        <v>3.9122807017543888</v>
      </c>
      <c r="AI147" s="467">
        <f t="shared" ca="1" si="83"/>
        <v>31.29824561403511</v>
      </c>
      <c r="AJ147" s="458" t="str">
        <f t="shared" ca="1" si="84"/>
        <v>Q2</v>
      </c>
      <c r="AK147" s="95" t="s">
        <v>360</v>
      </c>
      <c r="AL147" s="572"/>
      <c r="AM147" s="117"/>
      <c r="AN147" s="113"/>
      <c r="AO147" s="113"/>
      <c r="AP147" s="113"/>
      <c r="AQ147" s="121"/>
      <c r="AR147" s="436"/>
      <c r="AS147" s="437"/>
      <c r="AT147" s="437"/>
      <c r="AU147" s="437"/>
      <c r="AV147" s="437"/>
      <c r="AW147" s="94"/>
    </row>
    <row r="148" spans="1:49" ht="36" customHeight="1">
      <c r="A148" s="424">
        <v>147</v>
      </c>
      <c r="B148" s="625">
        <v>245</v>
      </c>
      <c r="C148" s="14" t="s">
        <v>6</v>
      </c>
      <c r="D148" s="442" t="s">
        <v>7</v>
      </c>
      <c r="E148" s="7" t="s">
        <v>207</v>
      </c>
      <c r="F148" s="8" t="s">
        <v>208</v>
      </c>
      <c r="G148" s="8"/>
      <c r="H148" s="596">
        <v>1000000</v>
      </c>
      <c r="I148" s="49">
        <v>3</v>
      </c>
      <c r="J148" s="55">
        <v>0.3</v>
      </c>
      <c r="K148" s="49"/>
      <c r="L148" s="56"/>
      <c r="M148" s="61">
        <v>4.0000000000000027</v>
      </c>
      <c r="N148" s="62">
        <v>6.0000000000000036</v>
      </c>
      <c r="O148" s="62">
        <v>3</v>
      </c>
      <c r="P148" s="62">
        <v>5</v>
      </c>
      <c r="Q148" s="62">
        <v>5</v>
      </c>
      <c r="R148" s="62">
        <v>5</v>
      </c>
      <c r="S148" s="62">
        <v>2</v>
      </c>
      <c r="T148" s="63">
        <v>6.0000000000000036</v>
      </c>
      <c r="U148" s="66" t="e">
        <f t="shared" ca="1" si="69"/>
        <v>#DIV/0!</v>
      </c>
      <c r="V148" s="66">
        <f t="shared" ca="1" si="70"/>
        <v>0.3</v>
      </c>
      <c r="W148" s="70">
        <f t="shared" si="71"/>
        <v>0.63157894736842146</v>
      </c>
      <c r="X148" s="70">
        <f t="shared" si="72"/>
        <v>0.63157894736842146</v>
      </c>
      <c r="Y148" s="70">
        <f t="shared" si="73"/>
        <v>0.42105263157894735</v>
      </c>
      <c r="Z148" s="70">
        <f t="shared" si="74"/>
        <v>0.8771929824561403</v>
      </c>
      <c r="AA148" s="70">
        <f t="shared" si="75"/>
        <v>0.43859649122807015</v>
      </c>
      <c r="AB148" s="70">
        <f t="shared" si="76"/>
        <v>0.61403508771929827</v>
      </c>
      <c r="AC148" s="70">
        <f t="shared" si="77"/>
        <v>0.21052631578947367</v>
      </c>
      <c r="AD148" s="71">
        <f t="shared" si="78"/>
        <v>0.63157894736842146</v>
      </c>
      <c r="AE148" s="72">
        <f t="shared" si="79"/>
        <v>0.7</v>
      </c>
      <c r="AF148" s="72">
        <f t="shared" ca="1" si="80"/>
        <v>0.7</v>
      </c>
      <c r="AG148" s="73">
        <f t="shared" ca="1" si="81"/>
        <v>0.69999999999999984</v>
      </c>
      <c r="AH148" s="456">
        <f t="shared" si="82"/>
        <v>4.4561403508771944</v>
      </c>
      <c r="AI148" s="467">
        <f t="shared" ca="1" si="83"/>
        <v>31.192982456140356</v>
      </c>
      <c r="AJ148" s="458" t="str">
        <f t="shared" ca="1" si="84"/>
        <v>Q4</v>
      </c>
      <c r="AK148" s="93" t="s">
        <v>360</v>
      </c>
      <c r="AL148" s="571"/>
      <c r="AM148" s="117"/>
      <c r="AN148" s="113"/>
      <c r="AO148" s="113"/>
      <c r="AP148" s="113"/>
      <c r="AQ148" s="121"/>
      <c r="AR148" s="436"/>
      <c r="AS148" s="437"/>
      <c r="AT148" s="437"/>
      <c r="AU148" s="437"/>
      <c r="AV148" s="437"/>
      <c r="AW148" s="94"/>
    </row>
    <row r="149" spans="1:49" ht="36" customHeight="1">
      <c r="A149" s="5">
        <v>210</v>
      </c>
      <c r="B149" s="625">
        <v>247</v>
      </c>
      <c r="C149" s="6" t="s">
        <v>12</v>
      </c>
      <c r="D149" s="371" t="s">
        <v>418</v>
      </c>
      <c r="E149" s="12" t="s">
        <v>150</v>
      </c>
      <c r="F149" s="13" t="s">
        <v>151</v>
      </c>
      <c r="G149" s="127" t="s">
        <v>152</v>
      </c>
      <c r="H149" s="603">
        <v>60000</v>
      </c>
      <c r="I149" s="50">
        <v>4</v>
      </c>
      <c r="J149" s="55">
        <v>0.3</v>
      </c>
      <c r="K149" s="49"/>
      <c r="L149" s="56"/>
      <c r="M149" s="61">
        <v>8.0000000000000053</v>
      </c>
      <c r="N149" s="62">
        <v>8.0000000000000053</v>
      </c>
      <c r="O149" s="62">
        <v>4.0000000000000027</v>
      </c>
      <c r="P149" s="62">
        <v>4</v>
      </c>
      <c r="Q149" s="62">
        <v>2</v>
      </c>
      <c r="R149" s="62">
        <v>4.0000000000000027</v>
      </c>
      <c r="S149" s="62">
        <v>0</v>
      </c>
      <c r="T149" s="63">
        <v>8</v>
      </c>
      <c r="U149" s="66" t="e">
        <f t="shared" ca="1" si="69"/>
        <v>#DIV/0!</v>
      </c>
      <c r="V149" s="66">
        <f t="shared" ca="1" si="70"/>
        <v>0.3</v>
      </c>
      <c r="W149" s="70">
        <f t="shared" si="71"/>
        <v>1.2631578947368429</v>
      </c>
      <c r="X149" s="70">
        <f t="shared" si="72"/>
        <v>0.84210526315789525</v>
      </c>
      <c r="Y149" s="70">
        <f t="shared" si="73"/>
        <v>0.56140350877193024</v>
      </c>
      <c r="Z149" s="70">
        <f t="shared" si="74"/>
        <v>0.70175438596491224</v>
      </c>
      <c r="AA149" s="70">
        <f t="shared" si="75"/>
        <v>0.17543859649122806</v>
      </c>
      <c r="AB149" s="70">
        <f t="shared" si="76"/>
        <v>0.4912280701754389</v>
      </c>
      <c r="AC149" s="70">
        <f t="shared" si="77"/>
        <v>0</v>
      </c>
      <c r="AD149" s="71">
        <f t="shared" si="78"/>
        <v>0.84210526315789469</v>
      </c>
      <c r="AE149" s="72">
        <f t="shared" si="79"/>
        <v>0.6</v>
      </c>
      <c r="AF149" s="72">
        <f t="shared" ca="1" si="80"/>
        <v>0.7</v>
      </c>
      <c r="AG149" s="73">
        <f t="shared" ca="1" si="81"/>
        <v>0.6333333333333333</v>
      </c>
      <c r="AH149" s="456">
        <f t="shared" si="82"/>
        <v>4.8771929824561422</v>
      </c>
      <c r="AI149" s="467">
        <f t="shared" ca="1" si="83"/>
        <v>30.8888888888889</v>
      </c>
      <c r="AJ149" s="458" t="str">
        <f t="shared" ca="1" si="84"/>
        <v>Q4</v>
      </c>
      <c r="AK149" s="95" t="s">
        <v>360</v>
      </c>
      <c r="AL149" s="572"/>
      <c r="AM149" s="117"/>
      <c r="AN149" s="113"/>
      <c r="AO149" s="113"/>
      <c r="AP149" s="113"/>
      <c r="AQ149" s="121"/>
      <c r="AR149" s="436"/>
      <c r="AS149" s="437"/>
      <c r="AT149" s="437"/>
      <c r="AU149" s="437"/>
      <c r="AV149" s="437"/>
      <c r="AW149" s="94"/>
    </row>
    <row r="150" spans="1:49" ht="36" customHeight="1">
      <c r="A150" s="5"/>
      <c r="B150" s="625">
        <v>248</v>
      </c>
      <c r="C150" s="14" t="s">
        <v>18</v>
      </c>
      <c r="D150" s="442" t="s">
        <v>7</v>
      </c>
      <c r="E150" s="7" t="s">
        <v>213</v>
      </c>
      <c r="F150" s="9" t="s">
        <v>1344</v>
      </c>
      <c r="G150" s="8" t="s">
        <v>1343</v>
      </c>
      <c r="H150" s="600">
        <v>206000</v>
      </c>
      <c r="I150" s="50">
        <v>3</v>
      </c>
      <c r="J150" s="55">
        <v>0.1</v>
      </c>
      <c r="K150" s="49"/>
      <c r="L150" s="56"/>
      <c r="M150" s="61">
        <v>5</v>
      </c>
      <c r="N150" s="62">
        <v>5</v>
      </c>
      <c r="O150" s="62">
        <v>4.0000000000000027</v>
      </c>
      <c r="P150" s="62">
        <v>4</v>
      </c>
      <c r="Q150" s="62">
        <v>2</v>
      </c>
      <c r="R150" s="62">
        <v>5</v>
      </c>
      <c r="S150" s="62">
        <v>0</v>
      </c>
      <c r="T150" s="63">
        <v>6</v>
      </c>
      <c r="U150" s="66" t="e">
        <f t="shared" ca="1" si="69"/>
        <v>#DIV/0!</v>
      </c>
      <c r="V150" s="66">
        <f t="shared" ca="1" si="70"/>
        <v>0.1</v>
      </c>
      <c r="W150" s="70">
        <f t="shared" si="71"/>
        <v>0.78947368421052633</v>
      </c>
      <c r="X150" s="70">
        <f t="shared" si="72"/>
        <v>0.52631578947368418</v>
      </c>
      <c r="Y150" s="70">
        <f t="shared" si="73"/>
        <v>0.56140350877193024</v>
      </c>
      <c r="Z150" s="70">
        <f t="shared" si="74"/>
        <v>0.70175438596491224</v>
      </c>
      <c r="AA150" s="70">
        <f t="shared" si="75"/>
        <v>0.17543859649122806</v>
      </c>
      <c r="AB150" s="70">
        <f t="shared" si="76"/>
        <v>0.61403508771929827</v>
      </c>
      <c r="AC150" s="70">
        <f t="shared" si="77"/>
        <v>0</v>
      </c>
      <c r="AD150" s="71">
        <f t="shared" si="78"/>
        <v>0.63157894736842102</v>
      </c>
      <c r="AE150" s="72">
        <f t="shared" si="79"/>
        <v>0.7</v>
      </c>
      <c r="AF150" s="72">
        <f t="shared" ca="1" si="80"/>
        <v>0.9</v>
      </c>
      <c r="AG150" s="73">
        <f t="shared" ca="1" si="81"/>
        <v>0.76666666666666661</v>
      </c>
      <c r="AH150" s="456">
        <f t="shared" si="82"/>
        <v>4.0000000000000009</v>
      </c>
      <c r="AI150" s="467">
        <f t="shared" ca="1" si="83"/>
        <v>30.666666666666671</v>
      </c>
      <c r="AJ150" s="458" t="str">
        <f t="shared" ca="1" si="84"/>
        <v>Q2</v>
      </c>
      <c r="AK150" s="95" t="s">
        <v>360</v>
      </c>
      <c r="AL150" s="572"/>
      <c r="AM150" s="122"/>
      <c r="AN150" s="119"/>
      <c r="AO150" s="113"/>
      <c r="AP150" s="113"/>
      <c r="AQ150" s="121"/>
      <c r="AR150" s="436"/>
      <c r="AS150" s="437"/>
      <c r="AT150" s="437"/>
      <c r="AU150" s="437"/>
      <c r="AV150" s="437"/>
      <c r="AW150" s="94"/>
    </row>
    <row r="151" spans="1:49" ht="36" customHeight="1">
      <c r="A151" s="5">
        <v>334</v>
      </c>
      <c r="B151" s="625">
        <v>249</v>
      </c>
      <c r="C151" s="14" t="s">
        <v>8</v>
      </c>
      <c r="D151" s="371" t="s">
        <v>7</v>
      </c>
      <c r="E151" s="7" t="s">
        <v>1349</v>
      </c>
      <c r="F151" s="8" t="s">
        <v>1457</v>
      </c>
      <c r="G151" s="8"/>
      <c r="H151" s="600">
        <v>168000</v>
      </c>
      <c r="I151" s="50">
        <v>3</v>
      </c>
      <c r="J151" s="55">
        <v>0.3</v>
      </c>
      <c r="K151" s="49"/>
      <c r="L151" s="56"/>
      <c r="M151" s="61">
        <v>6.0000000000000036</v>
      </c>
      <c r="N151" s="62">
        <v>6.0000000000000036</v>
      </c>
      <c r="O151" s="62">
        <v>1</v>
      </c>
      <c r="P151" s="62">
        <v>4.0000000000000027</v>
      </c>
      <c r="Q151" s="62">
        <v>4.0000000000000027</v>
      </c>
      <c r="R151" s="62">
        <v>6.0000000000000036</v>
      </c>
      <c r="S151" s="62">
        <v>2</v>
      </c>
      <c r="T151" s="63">
        <v>6.0000000000000036</v>
      </c>
      <c r="U151" s="66" t="e">
        <f t="shared" ca="1" si="69"/>
        <v>#DIV/0!</v>
      </c>
      <c r="V151" s="66">
        <f t="shared" ca="1" si="70"/>
        <v>0.3</v>
      </c>
      <c r="W151" s="70">
        <f t="shared" si="71"/>
        <v>0.94736842105263208</v>
      </c>
      <c r="X151" s="70">
        <f t="shared" si="72"/>
        <v>0.63157894736842146</v>
      </c>
      <c r="Y151" s="70">
        <f t="shared" si="73"/>
        <v>0.14035087719298245</v>
      </c>
      <c r="Z151" s="70">
        <f t="shared" si="74"/>
        <v>0.7017543859649128</v>
      </c>
      <c r="AA151" s="70">
        <f t="shared" si="75"/>
        <v>0.3508771929824564</v>
      </c>
      <c r="AB151" s="70">
        <f t="shared" si="76"/>
        <v>0.73684210526315841</v>
      </c>
      <c r="AC151" s="70">
        <f t="shared" si="77"/>
        <v>0.21052631578947367</v>
      </c>
      <c r="AD151" s="71">
        <f t="shared" si="78"/>
        <v>0.63157894736842146</v>
      </c>
      <c r="AE151" s="72">
        <f t="shared" si="79"/>
        <v>0.7</v>
      </c>
      <c r="AF151" s="72">
        <f t="shared" ca="1" si="80"/>
        <v>0.7</v>
      </c>
      <c r="AG151" s="73">
        <f t="shared" ca="1" si="81"/>
        <v>0.69999999999999984</v>
      </c>
      <c r="AH151" s="456">
        <f t="shared" si="82"/>
        <v>4.3508771929824581</v>
      </c>
      <c r="AI151" s="467">
        <f t="shared" ca="1" si="83"/>
        <v>30.456140350877199</v>
      </c>
      <c r="AJ151" s="458" t="str">
        <f t="shared" ca="1" si="84"/>
        <v>Q4</v>
      </c>
      <c r="AK151" s="95" t="s">
        <v>360</v>
      </c>
      <c r="AL151" s="572"/>
      <c r="AM151" s="117"/>
      <c r="AN151" s="113"/>
      <c r="AO151" s="113"/>
      <c r="AP151" s="113"/>
      <c r="AQ151" s="121"/>
      <c r="AR151" s="438"/>
      <c r="AS151" s="437"/>
      <c r="AT151" s="437"/>
      <c r="AU151" s="437"/>
      <c r="AV151" s="437"/>
      <c r="AW151" s="94"/>
    </row>
    <row r="152" spans="1:49" ht="36" customHeight="1">
      <c r="A152" s="424">
        <v>332</v>
      </c>
      <c r="B152" s="625">
        <v>250</v>
      </c>
      <c r="C152" s="6" t="s">
        <v>18</v>
      </c>
      <c r="D152" s="371" t="s">
        <v>7</v>
      </c>
      <c r="E152" s="18" t="s">
        <v>205</v>
      </c>
      <c r="F152" s="19" t="s">
        <v>1398</v>
      </c>
      <c r="G152" s="20" t="s">
        <v>206</v>
      </c>
      <c r="H152" s="603">
        <v>123000</v>
      </c>
      <c r="I152" s="50">
        <v>3</v>
      </c>
      <c r="J152" s="55">
        <v>0.1</v>
      </c>
      <c r="K152" s="49"/>
      <c r="L152" s="56"/>
      <c r="M152" s="61">
        <v>4.0000000000000027</v>
      </c>
      <c r="N152" s="62">
        <v>6.0000000000000036</v>
      </c>
      <c r="O152" s="62">
        <v>4</v>
      </c>
      <c r="P152" s="62">
        <v>4.0000000000000027</v>
      </c>
      <c r="Q152" s="62">
        <v>3</v>
      </c>
      <c r="R152" s="62">
        <v>6.0000000000000036</v>
      </c>
      <c r="S152" s="62">
        <v>0</v>
      </c>
      <c r="T152" s="63">
        <v>4.0000000000000027</v>
      </c>
      <c r="U152" s="66" t="e">
        <f t="shared" ca="1" si="69"/>
        <v>#DIV/0!</v>
      </c>
      <c r="V152" s="66">
        <f t="shared" ca="1" si="70"/>
        <v>0.1</v>
      </c>
      <c r="W152" s="70">
        <f t="shared" si="71"/>
        <v>0.63157894736842146</v>
      </c>
      <c r="X152" s="70">
        <f t="shared" si="72"/>
        <v>0.63157894736842146</v>
      </c>
      <c r="Y152" s="70">
        <f t="shared" si="73"/>
        <v>0.56140350877192979</v>
      </c>
      <c r="Z152" s="70">
        <f t="shared" si="74"/>
        <v>0.7017543859649128</v>
      </c>
      <c r="AA152" s="70">
        <f t="shared" si="75"/>
        <v>0.26315789473684209</v>
      </c>
      <c r="AB152" s="70">
        <f t="shared" si="76"/>
        <v>0.73684210526315841</v>
      </c>
      <c r="AC152" s="70">
        <f t="shared" si="77"/>
        <v>0</v>
      </c>
      <c r="AD152" s="71">
        <f t="shared" si="78"/>
        <v>0.42105263157894762</v>
      </c>
      <c r="AE152" s="72">
        <f t="shared" si="79"/>
        <v>0.7</v>
      </c>
      <c r="AF152" s="72">
        <f t="shared" ca="1" si="80"/>
        <v>0.9</v>
      </c>
      <c r="AG152" s="73">
        <f t="shared" ca="1" si="81"/>
        <v>0.76666666666666661</v>
      </c>
      <c r="AH152" s="456">
        <f t="shared" si="82"/>
        <v>3.9473684210526336</v>
      </c>
      <c r="AI152" s="467">
        <f t="shared" ca="1" si="83"/>
        <v>30.263157894736853</v>
      </c>
      <c r="AJ152" s="458" t="str">
        <f t="shared" ca="1" si="84"/>
        <v>Q2</v>
      </c>
      <c r="AK152" s="95" t="s">
        <v>360</v>
      </c>
      <c r="AL152" s="572"/>
      <c r="AM152" s="117"/>
      <c r="AN152" s="113"/>
      <c r="AO152" s="113"/>
      <c r="AP152" s="113"/>
      <c r="AQ152" s="121"/>
      <c r="AR152" s="436"/>
      <c r="AS152" s="437"/>
      <c r="AT152" s="437"/>
      <c r="AU152" s="437"/>
      <c r="AV152" s="437"/>
      <c r="AW152" s="94"/>
    </row>
    <row r="153" spans="1:49" ht="36" customHeight="1">
      <c r="A153" s="424"/>
      <c r="B153" s="625">
        <v>252</v>
      </c>
      <c r="C153" s="6" t="s">
        <v>6</v>
      </c>
      <c r="D153" s="371" t="s">
        <v>7</v>
      </c>
      <c r="E153" s="7" t="s">
        <v>307</v>
      </c>
      <c r="F153" s="9" t="s">
        <v>1217</v>
      </c>
      <c r="G153" s="8"/>
      <c r="H153" s="600">
        <v>825000</v>
      </c>
      <c r="I153" s="49">
        <v>5</v>
      </c>
      <c r="J153" s="55">
        <v>0.5</v>
      </c>
      <c r="K153" s="49"/>
      <c r="L153" s="56"/>
      <c r="M153" s="61">
        <v>6.0000000000000036</v>
      </c>
      <c r="N153" s="62">
        <v>8.0000000000000053</v>
      </c>
      <c r="O153" s="62">
        <v>6.0000000000000036</v>
      </c>
      <c r="P153" s="62">
        <v>6.0000000000000036</v>
      </c>
      <c r="Q153" s="62">
        <v>4.0000000000000027</v>
      </c>
      <c r="R153" s="62">
        <v>6.0000000000000036</v>
      </c>
      <c r="S153" s="62">
        <v>6</v>
      </c>
      <c r="T153" s="63">
        <v>6.0000000000000036</v>
      </c>
      <c r="U153" s="66" t="e">
        <f t="shared" ca="1" si="69"/>
        <v>#DIV/0!</v>
      </c>
      <c r="V153" s="66">
        <f t="shared" ca="1" si="70"/>
        <v>0.5</v>
      </c>
      <c r="W153" s="70">
        <f t="shared" si="71"/>
        <v>0.94736842105263208</v>
      </c>
      <c r="X153" s="70">
        <f t="shared" si="72"/>
        <v>0.84210526315789525</v>
      </c>
      <c r="Y153" s="70">
        <f t="shared" si="73"/>
        <v>0.84210526315789525</v>
      </c>
      <c r="Z153" s="70">
        <f t="shared" si="74"/>
        <v>1.052631578947369</v>
      </c>
      <c r="AA153" s="70">
        <f t="shared" si="75"/>
        <v>0.3508771929824564</v>
      </c>
      <c r="AB153" s="70">
        <f t="shared" si="76"/>
        <v>0.73684210526315841</v>
      </c>
      <c r="AC153" s="70">
        <f t="shared" si="77"/>
        <v>0.63157894736842102</v>
      </c>
      <c r="AD153" s="71">
        <f t="shared" si="78"/>
        <v>0.63157894736842146</v>
      </c>
      <c r="AE153" s="72">
        <f t="shared" si="79"/>
        <v>0.5</v>
      </c>
      <c r="AF153" s="72">
        <f t="shared" ca="1" si="80"/>
        <v>0.5</v>
      </c>
      <c r="AG153" s="73">
        <f t="shared" ca="1" si="81"/>
        <v>0.5</v>
      </c>
      <c r="AH153" s="456">
        <f t="shared" si="82"/>
        <v>6.0350877192982493</v>
      </c>
      <c r="AI153" s="467">
        <f t="shared" ca="1" si="83"/>
        <v>30.175438596491247</v>
      </c>
      <c r="AJ153" s="458" t="str">
        <f t="shared" ca="1" si="84"/>
        <v>Q3</v>
      </c>
      <c r="AK153" s="93" t="s">
        <v>360</v>
      </c>
      <c r="AL153" s="571"/>
      <c r="AM153" s="117"/>
      <c r="AN153" s="113"/>
      <c r="AO153" s="113"/>
      <c r="AP153" s="113"/>
      <c r="AQ153" s="121"/>
      <c r="AR153" s="436"/>
      <c r="AS153" s="437"/>
      <c r="AT153" s="437"/>
      <c r="AU153" s="437"/>
      <c r="AV153" s="437"/>
      <c r="AW153" s="94"/>
    </row>
    <row r="154" spans="1:49" ht="36" customHeight="1">
      <c r="A154" s="424"/>
      <c r="B154" s="625">
        <v>253</v>
      </c>
      <c r="C154" s="6" t="s">
        <v>6</v>
      </c>
      <c r="D154" s="371" t="s">
        <v>7</v>
      </c>
      <c r="E154" s="7" t="s">
        <v>342</v>
      </c>
      <c r="F154" s="9" t="s">
        <v>1346</v>
      </c>
      <c r="G154" s="8"/>
      <c r="H154" s="600">
        <v>200000</v>
      </c>
      <c r="I154" s="49">
        <v>4</v>
      </c>
      <c r="J154" s="55">
        <v>0.5</v>
      </c>
      <c r="K154" s="49"/>
      <c r="L154" s="56"/>
      <c r="M154" s="61">
        <v>6.0000000000000036</v>
      </c>
      <c r="N154" s="62">
        <v>8.0000000000000053</v>
      </c>
      <c r="O154" s="62">
        <v>4.0000000000000027</v>
      </c>
      <c r="P154" s="62">
        <v>6.0000000000000036</v>
      </c>
      <c r="Q154" s="62">
        <v>1</v>
      </c>
      <c r="R154" s="62">
        <v>8</v>
      </c>
      <c r="S154" s="62">
        <v>0</v>
      </c>
      <c r="T154" s="63">
        <v>8</v>
      </c>
      <c r="U154" s="66" t="e">
        <f t="shared" ca="1" si="69"/>
        <v>#DIV/0!</v>
      </c>
      <c r="V154" s="66">
        <f t="shared" ca="1" si="70"/>
        <v>0.5</v>
      </c>
      <c r="W154" s="70">
        <f t="shared" si="71"/>
        <v>0.94736842105263208</v>
      </c>
      <c r="X154" s="70">
        <f t="shared" si="72"/>
        <v>0.84210526315789525</v>
      </c>
      <c r="Y154" s="70">
        <f t="shared" si="73"/>
        <v>0.56140350877193024</v>
      </c>
      <c r="Z154" s="70">
        <f t="shared" si="74"/>
        <v>1.052631578947369</v>
      </c>
      <c r="AA154" s="70">
        <f t="shared" si="75"/>
        <v>8.771929824561403E-2</v>
      </c>
      <c r="AB154" s="70">
        <f t="shared" si="76"/>
        <v>0.98245614035087714</v>
      </c>
      <c r="AC154" s="70">
        <f t="shared" si="77"/>
        <v>0</v>
      </c>
      <c r="AD154" s="71">
        <f t="shared" si="78"/>
        <v>0.84210526315789469</v>
      </c>
      <c r="AE154" s="72">
        <f t="shared" si="79"/>
        <v>0.6</v>
      </c>
      <c r="AF154" s="72">
        <f t="shared" ca="1" si="80"/>
        <v>0.5</v>
      </c>
      <c r="AG154" s="73">
        <f t="shared" ca="1" si="81"/>
        <v>0.56666666666666665</v>
      </c>
      <c r="AH154" s="456">
        <f t="shared" si="82"/>
        <v>5.3157894736842124</v>
      </c>
      <c r="AI154" s="467">
        <f t="shared" ca="1" si="83"/>
        <v>30.12280701754387</v>
      </c>
      <c r="AJ154" s="458" t="str">
        <f t="shared" ca="1" si="84"/>
        <v>Q4</v>
      </c>
      <c r="AK154" s="93" t="s">
        <v>360</v>
      </c>
      <c r="AL154" s="571"/>
      <c r="AM154" s="117"/>
      <c r="AN154" s="113"/>
      <c r="AO154" s="113"/>
      <c r="AP154" s="123"/>
      <c r="AQ154" s="121"/>
      <c r="AR154" s="436"/>
      <c r="AS154" s="437"/>
      <c r="AT154" s="437"/>
      <c r="AU154" s="437"/>
      <c r="AV154" s="437"/>
      <c r="AW154" s="94"/>
    </row>
    <row r="155" spans="1:49" ht="36" customHeight="1">
      <c r="A155" s="424"/>
      <c r="B155" s="625">
        <v>254</v>
      </c>
      <c r="C155" s="6" t="s">
        <v>6</v>
      </c>
      <c r="D155" s="371" t="s">
        <v>7</v>
      </c>
      <c r="E155" s="7" t="s">
        <v>314</v>
      </c>
      <c r="F155" s="9" t="s">
        <v>1360</v>
      </c>
      <c r="G155" s="8"/>
      <c r="H155" s="600">
        <v>365000</v>
      </c>
      <c r="I155" s="50">
        <v>4</v>
      </c>
      <c r="J155" s="55">
        <v>0.5</v>
      </c>
      <c r="K155" s="49"/>
      <c r="L155" s="56"/>
      <c r="M155" s="61">
        <v>6.0000000000000036</v>
      </c>
      <c r="N155" s="62">
        <v>8.0000000000000053</v>
      </c>
      <c r="O155" s="62">
        <v>4.0000000000000027</v>
      </c>
      <c r="P155" s="62">
        <v>6.0000000000000036</v>
      </c>
      <c r="Q155" s="62">
        <v>1</v>
      </c>
      <c r="R155" s="62">
        <v>8</v>
      </c>
      <c r="S155" s="62">
        <v>0</v>
      </c>
      <c r="T155" s="63">
        <v>8</v>
      </c>
      <c r="U155" s="66" t="e">
        <f t="shared" ca="1" si="69"/>
        <v>#DIV/0!</v>
      </c>
      <c r="V155" s="66">
        <f t="shared" ca="1" si="70"/>
        <v>0.5</v>
      </c>
      <c r="W155" s="70">
        <f t="shared" si="71"/>
        <v>0.94736842105263208</v>
      </c>
      <c r="X155" s="70">
        <f t="shared" si="72"/>
        <v>0.84210526315789525</v>
      </c>
      <c r="Y155" s="70">
        <f t="shared" si="73"/>
        <v>0.56140350877193024</v>
      </c>
      <c r="Z155" s="70">
        <f t="shared" si="74"/>
        <v>1.052631578947369</v>
      </c>
      <c r="AA155" s="70">
        <f t="shared" si="75"/>
        <v>8.771929824561403E-2</v>
      </c>
      <c r="AB155" s="70">
        <f t="shared" si="76"/>
        <v>0.98245614035087714</v>
      </c>
      <c r="AC155" s="70">
        <f t="shared" si="77"/>
        <v>0</v>
      </c>
      <c r="AD155" s="71">
        <f t="shared" si="78"/>
        <v>0.84210526315789469</v>
      </c>
      <c r="AE155" s="72">
        <f t="shared" si="79"/>
        <v>0.6</v>
      </c>
      <c r="AF155" s="72">
        <f t="shared" ca="1" si="80"/>
        <v>0.5</v>
      </c>
      <c r="AG155" s="73">
        <f t="shared" ca="1" si="81"/>
        <v>0.56666666666666665</v>
      </c>
      <c r="AH155" s="456">
        <f t="shared" si="82"/>
        <v>5.3157894736842124</v>
      </c>
      <c r="AI155" s="467">
        <f t="shared" ca="1" si="83"/>
        <v>30.12280701754387</v>
      </c>
      <c r="AJ155" s="458" t="str">
        <f t="shared" ca="1" si="84"/>
        <v>Q4</v>
      </c>
      <c r="AK155" s="95" t="s">
        <v>360</v>
      </c>
      <c r="AL155" s="572"/>
      <c r="AM155" s="117"/>
      <c r="AN155" s="113"/>
      <c r="AO155" s="113"/>
      <c r="AP155" s="463"/>
      <c r="AQ155" s="586"/>
      <c r="AR155" s="436"/>
      <c r="AS155" s="437"/>
      <c r="AT155" s="437"/>
      <c r="AU155" s="437"/>
      <c r="AV155" s="437"/>
      <c r="AW155" s="94"/>
    </row>
    <row r="156" spans="1:49" ht="36" customHeight="1">
      <c r="A156" s="424">
        <v>305</v>
      </c>
      <c r="B156" s="625">
        <v>255</v>
      </c>
      <c r="C156" s="6" t="s">
        <v>6</v>
      </c>
      <c r="D156" s="371" t="s">
        <v>7</v>
      </c>
      <c r="E156" s="7" t="s">
        <v>322</v>
      </c>
      <c r="F156" s="9" t="s">
        <v>1218</v>
      </c>
      <c r="G156" s="8"/>
      <c r="H156" s="600">
        <v>185000</v>
      </c>
      <c r="I156" s="50">
        <v>4</v>
      </c>
      <c r="J156" s="55">
        <v>0.5</v>
      </c>
      <c r="K156" s="49"/>
      <c r="L156" s="56"/>
      <c r="M156" s="61">
        <v>6.0000000000000036</v>
      </c>
      <c r="N156" s="62">
        <v>8.0000000000000053</v>
      </c>
      <c r="O156" s="62">
        <v>4.0000000000000027</v>
      </c>
      <c r="P156" s="62">
        <v>6.0000000000000036</v>
      </c>
      <c r="Q156" s="62">
        <v>1</v>
      </c>
      <c r="R156" s="62">
        <v>8</v>
      </c>
      <c r="S156" s="62">
        <v>0</v>
      </c>
      <c r="T156" s="63">
        <v>8</v>
      </c>
      <c r="U156" s="66" t="e">
        <f t="shared" ca="1" si="69"/>
        <v>#DIV/0!</v>
      </c>
      <c r="V156" s="66">
        <f t="shared" ca="1" si="70"/>
        <v>0.5</v>
      </c>
      <c r="W156" s="70">
        <f t="shared" si="71"/>
        <v>0.94736842105263208</v>
      </c>
      <c r="X156" s="70">
        <f t="shared" si="72"/>
        <v>0.84210526315789525</v>
      </c>
      <c r="Y156" s="70">
        <f t="shared" si="73"/>
        <v>0.56140350877193024</v>
      </c>
      <c r="Z156" s="70">
        <f t="shared" si="74"/>
        <v>1.052631578947369</v>
      </c>
      <c r="AA156" s="70">
        <f t="shared" si="75"/>
        <v>8.771929824561403E-2</v>
      </c>
      <c r="AB156" s="70">
        <f t="shared" si="76"/>
        <v>0.98245614035087714</v>
      </c>
      <c r="AC156" s="70">
        <f t="shared" si="77"/>
        <v>0</v>
      </c>
      <c r="AD156" s="71">
        <f t="shared" si="78"/>
        <v>0.84210526315789469</v>
      </c>
      <c r="AE156" s="72">
        <f t="shared" si="79"/>
        <v>0.6</v>
      </c>
      <c r="AF156" s="72">
        <f t="shared" ca="1" si="80"/>
        <v>0.5</v>
      </c>
      <c r="AG156" s="73">
        <f t="shared" ca="1" si="81"/>
        <v>0.56666666666666665</v>
      </c>
      <c r="AH156" s="456">
        <f t="shared" si="82"/>
        <v>5.3157894736842124</v>
      </c>
      <c r="AI156" s="467">
        <f t="shared" ca="1" si="83"/>
        <v>30.12280701754387</v>
      </c>
      <c r="AJ156" s="458" t="str">
        <f t="shared" ca="1" si="84"/>
        <v>Q4</v>
      </c>
      <c r="AK156" s="95" t="s">
        <v>360</v>
      </c>
      <c r="AL156" s="111"/>
      <c r="AM156" s="117"/>
      <c r="AN156" s="113"/>
      <c r="AO156" s="113"/>
      <c r="AP156" s="113"/>
      <c r="AQ156" s="121"/>
      <c r="AR156" s="436"/>
      <c r="AS156" s="437"/>
      <c r="AT156" s="437"/>
      <c r="AU156" s="437"/>
      <c r="AV156" s="437"/>
      <c r="AW156" s="94"/>
    </row>
    <row r="157" spans="1:49" ht="36" customHeight="1">
      <c r="A157" s="424">
        <v>69</v>
      </c>
      <c r="B157" s="625">
        <v>256</v>
      </c>
      <c r="C157" s="6" t="s">
        <v>6</v>
      </c>
      <c r="D157" s="371" t="s">
        <v>7</v>
      </c>
      <c r="E157" s="7" t="s">
        <v>1309</v>
      </c>
      <c r="F157" s="9" t="s">
        <v>1219</v>
      </c>
      <c r="G157" s="8"/>
      <c r="H157" s="600">
        <v>300000</v>
      </c>
      <c r="I157" s="50">
        <v>4</v>
      </c>
      <c r="J157" s="55">
        <v>0.5</v>
      </c>
      <c r="K157" s="49"/>
      <c r="L157" s="56"/>
      <c r="M157" s="61">
        <v>6.0000000000000036</v>
      </c>
      <c r="N157" s="62">
        <v>8.0000000000000053</v>
      </c>
      <c r="O157" s="62">
        <v>4.0000000000000027</v>
      </c>
      <c r="P157" s="62">
        <v>6.0000000000000036</v>
      </c>
      <c r="Q157" s="62">
        <v>1</v>
      </c>
      <c r="R157" s="62">
        <v>8</v>
      </c>
      <c r="S157" s="62">
        <v>0</v>
      </c>
      <c r="T157" s="63">
        <v>8</v>
      </c>
      <c r="U157" s="66" t="e">
        <f t="shared" ca="1" si="69"/>
        <v>#DIV/0!</v>
      </c>
      <c r="V157" s="66">
        <f t="shared" ca="1" si="70"/>
        <v>0.5</v>
      </c>
      <c r="W157" s="70">
        <f t="shared" si="71"/>
        <v>0.94736842105263208</v>
      </c>
      <c r="X157" s="70">
        <f t="shared" si="72"/>
        <v>0.84210526315789525</v>
      </c>
      <c r="Y157" s="70">
        <f t="shared" si="73"/>
        <v>0.56140350877193024</v>
      </c>
      <c r="Z157" s="70">
        <f t="shared" si="74"/>
        <v>1.052631578947369</v>
      </c>
      <c r="AA157" s="70">
        <f t="shared" si="75"/>
        <v>8.771929824561403E-2</v>
      </c>
      <c r="AB157" s="70">
        <f t="shared" si="76"/>
        <v>0.98245614035087714</v>
      </c>
      <c r="AC157" s="70">
        <f t="shared" si="77"/>
        <v>0</v>
      </c>
      <c r="AD157" s="71">
        <f t="shared" si="78"/>
        <v>0.84210526315789469</v>
      </c>
      <c r="AE157" s="72">
        <f t="shared" si="79"/>
        <v>0.6</v>
      </c>
      <c r="AF157" s="72">
        <f t="shared" ca="1" si="80"/>
        <v>0.5</v>
      </c>
      <c r="AG157" s="73">
        <f t="shared" ca="1" si="81"/>
        <v>0.56666666666666665</v>
      </c>
      <c r="AH157" s="456">
        <f t="shared" si="82"/>
        <v>5.3157894736842124</v>
      </c>
      <c r="AI157" s="467">
        <f t="shared" ca="1" si="83"/>
        <v>30.12280701754387</v>
      </c>
      <c r="AJ157" s="458" t="str">
        <f t="shared" ca="1" si="84"/>
        <v>Q4</v>
      </c>
      <c r="AK157" s="95" t="s">
        <v>360</v>
      </c>
      <c r="AL157" s="573"/>
      <c r="AM157" s="117"/>
      <c r="AN157" s="113"/>
      <c r="AO157" s="113"/>
      <c r="AP157" s="113"/>
      <c r="AQ157" s="121"/>
      <c r="AR157" s="438"/>
      <c r="AS157" s="437"/>
      <c r="AT157" s="437"/>
      <c r="AU157" s="437"/>
      <c r="AV157" s="437"/>
      <c r="AW157" s="94"/>
    </row>
    <row r="158" spans="1:49" ht="36" customHeight="1">
      <c r="A158" s="5">
        <v>86</v>
      </c>
      <c r="B158" s="625">
        <v>257</v>
      </c>
      <c r="C158" s="6" t="s">
        <v>6</v>
      </c>
      <c r="D158" s="371" t="s">
        <v>7</v>
      </c>
      <c r="E158" s="7" t="s">
        <v>346</v>
      </c>
      <c r="F158" s="9" t="s">
        <v>1369</v>
      </c>
      <c r="G158" s="8"/>
      <c r="H158" s="600">
        <v>940000</v>
      </c>
      <c r="I158" s="50">
        <v>4</v>
      </c>
      <c r="J158" s="55">
        <v>0.5</v>
      </c>
      <c r="K158" s="49"/>
      <c r="L158" s="56"/>
      <c r="M158" s="61">
        <v>6.0000000000000036</v>
      </c>
      <c r="N158" s="62">
        <v>8</v>
      </c>
      <c r="O158" s="62">
        <v>4.0000000000000027</v>
      </c>
      <c r="P158" s="62">
        <v>6.0000000000000036</v>
      </c>
      <c r="Q158" s="62">
        <v>1</v>
      </c>
      <c r="R158" s="62">
        <v>8</v>
      </c>
      <c r="S158" s="62">
        <v>0</v>
      </c>
      <c r="T158" s="63">
        <v>8</v>
      </c>
      <c r="U158" s="66" t="e">
        <f t="shared" ca="1" si="69"/>
        <v>#DIV/0!</v>
      </c>
      <c r="V158" s="66">
        <f t="shared" ca="1" si="70"/>
        <v>0.5</v>
      </c>
      <c r="W158" s="70">
        <f t="shared" si="71"/>
        <v>0.94736842105263208</v>
      </c>
      <c r="X158" s="70">
        <f t="shared" si="72"/>
        <v>0.84210526315789469</v>
      </c>
      <c r="Y158" s="70">
        <f t="shared" si="73"/>
        <v>0.56140350877193024</v>
      </c>
      <c r="Z158" s="70">
        <f t="shared" si="74"/>
        <v>1.052631578947369</v>
      </c>
      <c r="AA158" s="70">
        <f t="shared" si="75"/>
        <v>8.771929824561403E-2</v>
      </c>
      <c r="AB158" s="70">
        <f t="shared" si="76"/>
        <v>0.98245614035087714</v>
      </c>
      <c r="AC158" s="70">
        <f t="shared" si="77"/>
        <v>0</v>
      </c>
      <c r="AD158" s="71">
        <f t="shared" si="78"/>
        <v>0.84210526315789469</v>
      </c>
      <c r="AE158" s="72">
        <f t="shared" si="79"/>
        <v>0.6</v>
      </c>
      <c r="AF158" s="72">
        <f t="shared" ca="1" si="80"/>
        <v>0.5</v>
      </c>
      <c r="AG158" s="73">
        <f t="shared" ca="1" si="81"/>
        <v>0.56666666666666665</v>
      </c>
      <c r="AH158" s="456">
        <f t="shared" si="82"/>
        <v>5.3157894736842115</v>
      </c>
      <c r="AI158" s="467">
        <f t="shared" ca="1" si="83"/>
        <v>30.122807017543863</v>
      </c>
      <c r="AJ158" s="458" t="str">
        <f t="shared" ca="1" si="84"/>
        <v>Q4</v>
      </c>
      <c r="AK158" s="95" t="s">
        <v>360</v>
      </c>
      <c r="AL158" s="111"/>
      <c r="AM158" s="117"/>
      <c r="AN158" s="113"/>
      <c r="AO158" s="113"/>
      <c r="AP158" s="113"/>
      <c r="AQ158" s="121"/>
      <c r="AR158" s="436"/>
      <c r="AS158" s="437"/>
      <c r="AT158" s="437"/>
      <c r="AU158" s="437"/>
      <c r="AV158" s="437"/>
      <c r="AW158" s="94"/>
    </row>
    <row r="159" spans="1:49" ht="36" customHeight="1">
      <c r="A159" s="5">
        <v>40</v>
      </c>
      <c r="B159" s="625">
        <v>261</v>
      </c>
      <c r="C159" s="6" t="s">
        <v>20</v>
      </c>
      <c r="D159" s="371" t="s">
        <v>7</v>
      </c>
      <c r="E159" s="18" t="s">
        <v>295</v>
      </c>
      <c r="F159" s="19" t="s">
        <v>296</v>
      </c>
      <c r="G159" s="20" t="s">
        <v>297</v>
      </c>
      <c r="H159" s="603">
        <v>80000</v>
      </c>
      <c r="I159" s="50">
        <v>3</v>
      </c>
      <c r="J159" s="55">
        <v>0</v>
      </c>
      <c r="K159" s="49"/>
      <c r="L159" s="56"/>
      <c r="M159" s="61">
        <v>6.0000000000000036</v>
      </c>
      <c r="N159" s="62">
        <v>1</v>
      </c>
      <c r="O159" s="62">
        <v>4.0000000000000027</v>
      </c>
      <c r="P159" s="62">
        <v>1</v>
      </c>
      <c r="Q159" s="62">
        <v>9.9999999999999982</v>
      </c>
      <c r="R159" s="62">
        <v>1</v>
      </c>
      <c r="S159" s="62">
        <v>3</v>
      </c>
      <c r="T159" s="63">
        <v>6.0000000000000036</v>
      </c>
      <c r="U159" s="66" t="e">
        <f t="shared" ca="1" si="69"/>
        <v>#DIV/0!</v>
      </c>
      <c r="V159" s="66">
        <f t="shared" ca="1" si="70"/>
        <v>0</v>
      </c>
      <c r="W159" s="70">
        <f t="shared" si="71"/>
        <v>0.94736842105263208</v>
      </c>
      <c r="X159" s="70">
        <f t="shared" si="72"/>
        <v>0.10526315789473684</v>
      </c>
      <c r="Y159" s="70">
        <f t="shared" si="73"/>
        <v>0.56140350877193024</v>
      </c>
      <c r="Z159" s="70">
        <f t="shared" si="74"/>
        <v>0.17543859649122806</v>
      </c>
      <c r="AA159" s="70">
        <f t="shared" si="75"/>
        <v>0.87719298245614019</v>
      </c>
      <c r="AB159" s="70">
        <f t="shared" si="76"/>
        <v>0.12280701754385964</v>
      </c>
      <c r="AC159" s="70">
        <f t="shared" si="77"/>
        <v>0.31578947368421051</v>
      </c>
      <c r="AD159" s="71">
        <f t="shared" si="78"/>
        <v>0.63157894736842146</v>
      </c>
      <c r="AE159" s="72">
        <f t="shared" si="79"/>
        <v>0.7</v>
      </c>
      <c r="AF159" s="72">
        <f t="shared" ca="1" si="80"/>
        <v>1</v>
      </c>
      <c r="AG159" s="73">
        <f t="shared" ca="1" si="81"/>
        <v>0.79999999999999993</v>
      </c>
      <c r="AH159" s="456">
        <f t="shared" si="82"/>
        <v>3.7368421052631593</v>
      </c>
      <c r="AI159" s="467">
        <f t="shared" ca="1" si="83"/>
        <v>29.894736842105271</v>
      </c>
      <c r="AJ159" s="458" t="str">
        <f t="shared" ca="1" si="84"/>
        <v>Q2</v>
      </c>
      <c r="AK159" s="95" t="s">
        <v>360</v>
      </c>
      <c r="AL159" s="572"/>
      <c r="AM159" s="117"/>
      <c r="AN159" s="113"/>
      <c r="AO159" s="113"/>
      <c r="AP159" s="113"/>
      <c r="AQ159" s="121"/>
      <c r="AR159" s="436"/>
      <c r="AS159" s="437"/>
      <c r="AT159" s="437"/>
      <c r="AU159" s="437"/>
      <c r="AV159" s="437"/>
      <c r="AW159" s="94"/>
    </row>
    <row r="160" spans="1:49" ht="36" customHeight="1">
      <c r="A160" s="5">
        <v>94</v>
      </c>
      <c r="B160" s="625">
        <v>262</v>
      </c>
      <c r="C160" s="6" t="s">
        <v>20</v>
      </c>
      <c r="D160" s="371" t="s">
        <v>7</v>
      </c>
      <c r="E160" s="12" t="s">
        <v>166</v>
      </c>
      <c r="F160" s="647" t="s">
        <v>1185</v>
      </c>
      <c r="G160" s="133" t="s">
        <v>167</v>
      </c>
      <c r="H160" s="600">
        <v>350000</v>
      </c>
      <c r="I160" s="50">
        <v>3</v>
      </c>
      <c r="J160" s="55">
        <v>0.3</v>
      </c>
      <c r="K160" s="49"/>
      <c r="L160" s="56"/>
      <c r="M160" s="61">
        <v>6.0000000000000036</v>
      </c>
      <c r="N160" s="62">
        <v>4.0000000000000027</v>
      </c>
      <c r="O160" s="62">
        <v>6.0000000000000036</v>
      </c>
      <c r="P160" s="62">
        <v>2</v>
      </c>
      <c r="Q160" s="62">
        <v>8.0000000000000053</v>
      </c>
      <c r="R160" s="62">
        <v>3</v>
      </c>
      <c r="S160" s="62">
        <v>0</v>
      </c>
      <c r="T160" s="63">
        <v>6.0000000000000036</v>
      </c>
      <c r="U160" s="66" t="e">
        <f t="shared" ca="1" si="69"/>
        <v>#DIV/0!</v>
      </c>
      <c r="V160" s="66">
        <f t="shared" ca="1" si="70"/>
        <v>0.3</v>
      </c>
      <c r="W160" s="70">
        <f t="shared" si="71"/>
        <v>0.94736842105263208</v>
      </c>
      <c r="X160" s="70">
        <f t="shared" si="72"/>
        <v>0.42105263157894762</v>
      </c>
      <c r="Y160" s="70">
        <f t="shared" si="73"/>
        <v>0.84210526315789525</v>
      </c>
      <c r="Z160" s="70">
        <f t="shared" si="74"/>
        <v>0.35087719298245612</v>
      </c>
      <c r="AA160" s="70">
        <f t="shared" si="75"/>
        <v>0.7017543859649128</v>
      </c>
      <c r="AB160" s="70">
        <f t="shared" si="76"/>
        <v>0.36842105263157893</v>
      </c>
      <c r="AC160" s="70">
        <f t="shared" si="77"/>
        <v>0</v>
      </c>
      <c r="AD160" s="71">
        <f t="shared" si="78"/>
        <v>0.63157894736842146</v>
      </c>
      <c r="AE160" s="72">
        <f t="shared" si="79"/>
        <v>0.7</v>
      </c>
      <c r="AF160" s="72">
        <f t="shared" ca="1" si="80"/>
        <v>0.7</v>
      </c>
      <c r="AG160" s="73">
        <f t="shared" ca="1" si="81"/>
        <v>0.69999999999999984</v>
      </c>
      <c r="AH160" s="456">
        <f t="shared" si="82"/>
        <v>4.2631578947368434</v>
      </c>
      <c r="AI160" s="467">
        <f t="shared" ca="1" si="83"/>
        <v>29.842105263157897</v>
      </c>
      <c r="AJ160" s="458" t="str">
        <f t="shared" ca="1" si="84"/>
        <v>Q4</v>
      </c>
      <c r="AK160" s="95" t="s">
        <v>360</v>
      </c>
      <c r="AL160" s="572"/>
      <c r="AM160" s="117"/>
      <c r="AN160" s="113"/>
      <c r="AO160" s="113"/>
      <c r="AP160" s="113"/>
      <c r="AQ160" s="121"/>
      <c r="AR160" s="436"/>
      <c r="AS160" s="437"/>
      <c r="AT160" s="437"/>
      <c r="AU160" s="437"/>
      <c r="AV160" s="437"/>
      <c r="AW160" s="94"/>
    </row>
    <row r="161" spans="1:49" ht="36" customHeight="1">
      <c r="A161" s="5">
        <v>181</v>
      </c>
      <c r="B161" s="625">
        <v>263</v>
      </c>
      <c r="C161" s="6" t="s">
        <v>6</v>
      </c>
      <c r="D161" s="371" t="s">
        <v>7</v>
      </c>
      <c r="E161" s="7" t="s">
        <v>277</v>
      </c>
      <c r="F161" s="9" t="s">
        <v>1220</v>
      </c>
      <c r="G161" s="8"/>
      <c r="H161" s="600">
        <v>100000</v>
      </c>
      <c r="I161" s="49">
        <v>5</v>
      </c>
      <c r="J161" s="55">
        <v>0.3</v>
      </c>
      <c r="K161" s="49"/>
      <c r="L161" s="56"/>
      <c r="M161" s="61">
        <v>6.0000000000000036</v>
      </c>
      <c r="N161" s="62">
        <v>8.0000000000000053</v>
      </c>
      <c r="O161" s="62">
        <v>4.0000000000000027</v>
      </c>
      <c r="P161" s="62">
        <v>6.0000000000000036</v>
      </c>
      <c r="Q161" s="62">
        <v>4.0000000000000027</v>
      </c>
      <c r="R161" s="62">
        <v>6.0000000000000036</v>
      </c>
      <c r="S161" s="62">
        <v>1</v>
      </c>
      <c r="T161" s="63">
        <v>6.0000000000000036</v>
      </c>
      <c r="U161" s="66" t="e">
        <f t="shared" ca="1" si="69"/>
        <v>#DIV/0!</v>
      </c>
      <c r="V161" s="66">
        <f t="shared" ca="1" si="70"/>
        <v>0.3</v>
      </c>
      <c r="W161" s="70">
        <f t="shared" si="71"/>
        <v>0.94736842105263208</v>
      </c>
      <c r="X161" s="70">
        <f t="shared" si="72"/>
        <v>0.84210526315789525</v>
      </c>
      <c r="Y161" s="70">
        <f t="shared" si="73"/>
        <v>0.56140350877193024</v>
      </c>
      <c r="Z161" s="70">
        <f t="shared" si="74"/>
        <v>1.052631578947369</v>
      </c>
      <c r="AA161" s="70">
        <f t="shared" si="75"/>
        <v>0.3508771929824564</v>
      </c>
      <c r="AB161" s="70">
        <f t="shared" si="76"/>
        <v>0.73684210526315841</v>
      </c>
      <c r="AC161" s="70">
        <f t="shared" si="77"/>
        <v>0.10526315789473684</v>
      </c>
      <c r="AD161" s="71">
        <f t="shared" si="78"/>
        <v>0.63157894736842146</v>
      </c>
      <c r="AE161" s="72">
        <f t="shared" si="79"/>
        <v>0.5</v>
      </c>
      <c r="AF161" s="72">
        <f t="shared" ca="1" si="80"/>
        <v>0.7</v>
      </c>
      <c r="AG161" s="73">
        <f t="shared" ca="1" si="81"/>
        <v>0.56666666666666665</v>
      </c>
      <c r="AH161" s="456">
        <f t="shared" si="82"/>
        <v>5.2280701754386003</v>
      </c>
      <c r="AI161" s="467">
        <f t="shared" ca="1" si="83"/>
        <v>29.625730994152065</v>
      </c>
      <c r="AJ161" s="458" t="str">
        <f t="shared" ca="1" si="84"/>
        <v>Q4</v>
      </c>
      <c r="AK161" s="93" t="s">
        <v>360</v>
      </c>
      <c r="AL161" s="571"/>
      <c r="AM161" s="117"/>
      <c r="AN161" s="113"/>
      <c r="AO161" s="113"/>
      <c r="AP161" s="113"/>
      <c r="AQ161" s="121"/>
      <c r="AR161" s="436"/>
      <c r="AS161" s="437"/>
      <c r="AT161" s="437"/>
      <c r="AU161" s="437"/>
      <c r="AV161" s="437"/>
      <c r="AW161" s="94"/>
    </row>
    <row r="162" spans="1:49" ht="36" customHeight="1">
      <c r="A162" s="5"/>
      <c r="B162" s="625">
        <v>264</v>
      </c>
      <c r="C162" s="6" t="s">
        <v>6</v>
      </c>
      <c r="D162" s="371" t="s">
        <v>7</v>
      </c>
      <c r="E162" s="7" t="s">
        <v>337</v>
      </c>
      <c r="F162" s="9" t="s">
        <v>1221</v>
      </c>
      <c r="G162" s="8"/>
      <c r="H162" s="600">
        <v>250000</v>
      </c>
      <c r="I162" s="50">
        <v>4</v>
      </c>
      <c r="J162" s="55">
        <v>0.5</v>
      </c>
      <c r="K162" s="49"/>
      <c r="L162" s="56"/>
      <c r="M162" s="61">
        <v>6.0000000000000036</v>
      </c>
      <c r="N162" s="62">
        <v>8</v>
      </c>
      <c r="O162" s="62">
        <v>4.0000000000000027</v>
      </c>
      <c r="P162" s="62">
        <v>6.0000000000000036</v>
      </c>
      <c r="Q162" s="62">
        <v>0</v>
      </c>
      <c r="R162" s="62">
        <v>8</v>
      </c>
      <c r="S162" s="62">
        <v>0</v>
      </c>
      <c r="T162" s="63">
        <v>8</v>
      </c>
      <c r="U162" s="66" t="e">
        <f t="shared" ca="1" si="69"/>
        <v>#DIV/0!</v>
      </c>
      <c r="V162" s="66">
        <f t="shared" ca="1" si="70"/>
        <v>0.5</v>
      </c>
      <c r="W162" s="70">
        <f t="shared" si="71"/>
        <v>0.94736842105263208</v>
      </c>
      <c r="X162" s="70">
        <f t="shared" si="72"/>
        <v>0.84210526315789469</v>
      </c>
      <c r="Y162" s="70">
        <f t="shared" si="73"/>
        <v>0.56140350877193024</v>
      </c>
      <c r="Z162" s="70">
        <f t="shared" si="74"/>
        <v>1.052631578947369</v>
      </c>
      <c r="AA162" s="70">
        <f t="shared" si="75"/>
        <v>0</v>
      </c>
      <c r="AB162" s="70">
        <f t="shared" si="76"/>
        <v>0.98245614035087714</v>
      </c>
      <c r="AC162" s="70">
        <f t="shared" si="77"/>
        <v>0</v>
      </c>
      <c r="AD162" s="71">
        <f t="shared" si="78"/>
        <v>0.84210526315789469</v>
      </c>
      <c r="AE162" s="72">
        <f t="shared" si="79"/>
        <v>0.6</v>
      </c>
      <c r="AF162" s="72">
        <f t="shared" ca="1" si="80"/>
        <v>0.5</v>
      </c>
      <c r="AG162" s="73">
        <f t="shared" ca="1" si="81"/>
        <v>0.56666666666666665</v>
      </c>
      <c r="AH162" s="456">
        <f t="shared" si="82"/>
        <v>5.2280701754385985</v>
      </c>
      <c r="AI162" s="467">
        <f t="shared" ca="1" si="83"/>
        <v>29.625730994152057</v>
      </c>
      <c r="AJ162" s="458" t="str">
        <f t="shared" ca="1" si="84"/>
        <v>Q4</v>
      </c>
      <c r="AK162" s="95" t="s">
        <v>360</v>
      </c>
      <c r="AL162" s="111"/>
      <c r="AM162" s="117"/>
      <c r="AN162" s="113"/>
      <c r="AO162" s="113"/>
      <c r="AP162" s="113"/>
      <c r="AQ162" s="121"/>
      <c r="AR162" s="436"/>
      <c r="AS162" s="437"/>
      <c r="AT162" s="437"/>
      <c r="AU162" s="437"/>
      <c r="AV162" s="437"/>
      <c r="AW162" s="94"/>
    </row>
    <row r="163" spans="1:49" ht="36" customHeight="1">
      <c r="A163" s="5"/>
      <c r="B163" s="625">
        <v>266</v>
      </c>
      <c r="C163" s="6" t="s">
        <v>18</v>
      </c>
      <c r="D163" s="371" t="s">
        <v>7</v>
      </c>
      <c r="E163" s="18" t="s">
        <v>1370</v>
      </c>
      <c r="F163" s="19" t="s">
        <v>119</v>
      </c>
      <c r="G163" s="20" t="s">
        <v>120</v>
      </c>
      <c r="H163" s="604">
        <v>80000</v>
      </c>
      <c r="I163" s="50">
        <v>4</v>
      </c>
      <c r="J163" s="55">
        <v>0.3</v>
      </c>
      <c r="K163" s="49"/>
      <c r="L163" s="56"/>
      <c r="M163" s="61">
        <v>4.0000000000000027</v>
      </c>
      <c r="N163" s="62">
        <v>8.0000000000000053</v>
      </c>
      <c r="O163" s="62">
        <v>4.0000000000000027</v>
      </c>
      <c r="P163" s="62">
        <v>4</v>
      </c>
      <c r="Q163" s="62">
        <v>6.0000000000000036</v>
      </c>
      <c r="R163" s="62">
        <v>6.0000000000000036</v>
      </c>
      <c r="S163" s="62">
        <v>0</v>
      </c>
      <c r="T163" s="63">
        <v>6.0000000000000036</v>
      </c>
      <c r="U163" s="66" t="e">
        <f t="shared" ca="1" si="69"/>
        <v>#DIV/0!</v>
      </c>
      <c r="V163" s="66">
        <f t="shared" ca="1" si="70"/>
        <v>0.3</v>
      </c>
      <c r="W163" s="70">
        <f t="shared" si="71"/>
        <v>0.63157894736842146</v>
      </c>
      <c r="X163" s="70">
        <f t="shared" si="72"/>
        <v>0.84210526315789525</v>
      </c>
      <c r="Y163" s="70">
        <f t="shared" si="73"/>
        <v>0.56140350877193024</v>
      </c>
      <c r="Z163" s="70">
        <f t="shared" si="74"/>
        <v>0.70175438596491224</v>
      </c>
      <c r="AA163" s="70">
        <f t="shared" si="75"/>
        <v>0.52631578947368451</v>
      </c>
      <c r="AB163" s="70">
        <f t="shared" si="76"/>
        <v>0.73684210526315841</v>
      </c>
      <c r="AC163" s="70">
        <f t="shared" si="77"/>
        <v>0</v>
      </c>
      <c r="AD163" s="71">
        <f t="shared" si="78"/>
        <v>0.63157894736842146</v>
      </c>
      <c r="AE163" s="72">
        <f t="shared" si="79"/>
        <v>0.6</v>
      </c>
      <c r="AF163" s="72">
        <f t="shared" ca="1" si="80"/>
        <v>0.7</v>
      </c>
      <c r="AG163" s="73">
        <f t="shared" ca="1" si="81"/>
        <v>0.6333333333333333</v>
      </c>
      <c r="AH163" s="456">
        <f t="shared" si="82"/>
        <v>4.631578947368423</v>
      </c>
      <c r="AI163" s="467">
        <f t="shared" ca="1" si="83"/>
        <v>29.333333333333343</v>
      </c>
      <c r="AJ163" s="458" t="str">
        <f t="shared" ca="1" si="84"/>
        <v>Q4</v>
      </c>
      <c r="AK163" s="95" t="s">
        <v>360</v>
      </c>
      <c r="AL163" s="573"/>
      <c r="AM163" s="117"/>
      <c r="AN163" s="113"/>
      <c r="AO163" s="113"/>
      <c r="AP163" s="113"/>
      <c r="AQ163" s="121"/>
      <c r="AR163" s="436"/>
      <c r="AS163" s="437"/>
      <c r="AT163" s="437"/>
      <c r="AU163" s="437"/>
      <c r="AV163" s="437"/>
      <c r="AW163" s="94"/>
    </row>
    <row r="164" spans="1:49" ht="36" customHeight="1">
      <c r="A164" s="5">
        <v>205</v>
      </c>
      <c r="B164" s="625">
        <v>268</v>
      </c>
      <c r="C164" s="6" t="s">
        <v>18</v>
      </c>
      <c r="D164" s="371" t="s">
        <v>416</v>
      </c>
      <c r="E164" s="12" t="s">
        <v>192</v>
      </c>
      <c r="F164" s="11" t="s">
        <v>1282</v>
      </c>
      <c r="G164" s="112" t="s">
        <v>77</v>
      </c>
      <c r="H164" s="600">
        <v>150000</v>
      </c>
      <c r="I164" s="49">
        <v>3</v>
      </c>
      <c r="J164" s="55">
        <v>0.3</v>
      </c>
      <c r="K164" s="49"/>
      <c r="L164" s="56"/>
      <c r="M164" s="61">
        <v>4.0000000000000027</v>
      </c>
      <c r="N164" s="62">
        <v>8.0000000000000053</v>
      </c>
      <c r="O164" s="62">
        <v>1</v>
      </c>
      <c r="P164" s="62">
        <v>4</v>
      </c>
      <c r="Q164" s="62">
        <v>1</v>
      </c>
      <c r="R164" s="62">
        <v>7.0000000000000044</v>
      </c>
      <c r="S164" s="62">
        <v>0</v>
      </c>
      <c r="T164" s="63">
        <v>8.0000000000000053</v>
      </c>
      <c r="U164" s="66" t="e">
        <f t="shared" ca="1" si="69"/>
        <v>#DIV/0!</v>
      </c>
      <c r="V164" s="66">
        <f t="shared" ca="1" si="70"/>
        <v>0.3</v>
      </c>
      <c r="W164" s="70">
        <f t="shared" si="71"/>
        <v>0.63157894736842146</v>
      </c>
      <c r="X164" s="70">
        <f t="shared" si="72"/>
        <v>0.84210526315789525</v>
      </c>
      <c r="Y164" s="70">
        <f t="shared" si="73"/>
        <v>0.14035087719298245</v>
      </c>
      <c r="Z164" s="70">
        <f t="shared" si="74"/>
        <v>0.70175438596491224</v>
      </c>
      <c r="AA164" s="70">
        <f t="shared" si="75"/>
        <v>8.771929824561403E-2</v>
      </c>
      <c r="AB164" s="70">
        <f t="shared" si="76"/>
        <v>0.859649122807018</v>
      </c>
      <c r="AC164" s="70">
        <f t="shared" si="77"/>
        <v>0</v>
      </c>
      <c r="AD164" s="71">
        <f t="shared" si="78"/>
        <v>0.84210526315789525</v>
      </c>
      <c r="AE164" s="72">
        <f t="shared" si="79"/>
        <v>0.7</v>
      </c>
      <c r="AF164" s="72">
        <f t="shared" ca="1" si="80"/>
        <v>0.7</v>
      </c>
      <c r="AG164" s="73">
        <f t="shared" ca="1" si="81"/>
        <v>0.69999999999999984</v>
      </c>
      <c r="AH164" s="456">
        <f t="shared" si="82"/>
        <v>4.1052631578947389</v>
      </c>
      <c r="AI164" s="467">
        <f t="shared" ca="1" si="83"/>
        <v>28.736842105263168</v>
      </c>
      <c r="AJ164" s="458" t="str">
        <f t="shared" ca="1" si="84"/>
        <v>Q4</v>
      </c>
      <c r="AK164" s="93" t="s">
        <v>360</v>
      </c>
      <c r="AL164" s="110"/>
      <c r="AM164" s="117"/>
      <c r="AN164" s="113"/>
      <c r="AO164" s="113"/>
      <c r="AP164" s="113"/>
      <c r="AQ164" s="121"/>
      <c r="AR164" s="436"/>
      <c r="AS164" s="437"/>
      <c r="AT164" s="437"/>
      <c r="AU164" s="437"/>
      <c r="AV164" s="437"/>
      <c r="AW164" s="94"/>
    </row>
    <row r="165" spans="1:49" ht="36" customHeight="1">
      <c r="A165" s="5">
        <v>187</v>
      </c>
      <c r="B165" s="625">
        <v>269</v>
      </c>
      <c r="C165" s="6" t="s">
        <v>18</v>
      </c>
      <c r="D165" s="371" t="s">
        <v>416</v>
      </c>
      <c r="E165" s="12" t="s">
        <v>135</v>
      </c>
      <c r="F165" s="22" t="s">
        <v>136</v>
      </c>
      <c r="G165" s="112" t="s">
        <v>137</v>
      </c>
      <c r="H165" s="600">
        <v>150000</v>
      </c>
      <c r="I165" s="49">
        <v>4</v>
      </c>
      <c r="J165" s="55">
        <v>0.3</v>
      </c>
      <c r="K165" s="49"/>
      <c r="L165" s="56"/>
      <c r="M165" s="61">
        <v>5</v>
      </c>
      <c r="N165" s="62">
        <v>6</v>
      </c>
      <c r="O165" s="62">
        <v>5</v>
      </c>
      <c r="P165" s="62">
        <v>4.0000000000000027</v>
      </c>
      <c r="Q165" s="62">
        <v>0</v>
      </c>
      <c r="R165" s="62">
        <v>5</v>
      </c>
      <c r="S165" s="62">
        <v>2</v>
      </c>
      <c r="T165" s="63">
        <v>8</v>
      </c>
      <c r="U165" s="66" t="e">
        <f t="shared" ca="1" si="69"/>
        <v>#DIV/0!</v>
      </c>
      <c r="V165" s="66">
        <f t="shared" ca="1" si="70"/>
        <v>0.3</v>
      </c>
      <c r="W165" s="70">
        <f t="shared" si="71"/>
        <v>0.78947368421052633</v>
      </c>
      <c r="X165" s="70">
        <f t="shared" si="72"/>
        <v>0.63157894736842102</v>
      </c>
      <c r="Y165" s="70">
        <f t="shared" si="73"/>
        <v>0.70175438596491224</v>
      </c>
      <c r="Z165" s="70">
        <f t="shared" si="74"/>
        <v>0.7017543859649128</v>
      </c>
      <c r="AA165" s="70">
        <f t="shared" si="75"/>
        <v>0</v>
      </c>
      <c r="AB165" s="70">
        <f t="shared" si="76"/>
        <v>0.61403508771929827</v>
      </c>
      <c r="AC165" s="70">
        <f t="shared" si="77"/>
        <v>0.21052631578947367</v>
      </c>
      <c r="AD165" s="71">
        <f t="shared" si="78"/>
        <v>0.84210526315789469</v>
      </c>
      <c r="AE165" s="72">
        <f t="shared" si="79"/>
        <v>0.6</v>
      </c>
      <c r="AF165" s="72">
        <f t="shared" ca="1" si="80"/>
        <v>0.7</v>
      </c>
      <c r="AG165" s="73">
        <f t="shared" ca="1" si="81"/>
        <v>0.6333333333333333</v>
      </c>
      <c r="AH165" s="456">
        <f t="shared" si="82"/>
        <v>4.4912280701754392</v>
      </c>
      <c r="AI165" s="467">
        <f t="shared" ca="1" si="83"/>
        <v>28.444444444444446</v>
      </c>
      <c r="AJ165" s="458" t="str">
        <f t="shared" ca="1" si="84"/>
        <v>Q4</v>
      </c>
      <c r="AK165" s="93" t="s">
        <v>360</v>
      </c>
      <c r="AL165" s="570"/>
      <c r="AM165" s="117"/>
      <c r="AN165" s="113"/>
      <c r="AO165" s="113"/>
      <c r="AP165" s="113"/>
      <c r="AQ165" s="121"/>
      <c r="AR165" s="438"/>
      <c r="AS165" s="437"/>
      <c r="AT165" s="437"/>
      <c r="AU165" s="437"/>
      <c r="AV165" s="437"/>
      <c r="AW165" s="94"/>
    </row>
    <row r="166" spans="1:49" ht="36" customHeight="1">
      <c r="A166" s="5">
        <v>224</v>
      </c>
      <c r="B166" s="625">
        <v>270</v>
      </c>
      <c r="C166" s="6" t="s">
        <v>53</v>
      </c>
      <c r="D166" s="371" t="s">
        <v>7</v>
      </c>
      <c r="E166" s="18" t="s">
        <v>247</v>
      </c>
      <c r="F166" s="20" t="s">
        <v>1513</v>
      </c>
      <c r="G166" s="20" t="s">
        <v>248</v>
      </c>
      <c r="H166" s="603">
        <v>207000</v>
      </c>
      <c r="I166" s="50">
        <v>2</v>
      </c>
      <c r="J166" s="55">
        <v>0.5</v>
      </c>
      <c r="K166" s="49"/>
      <c r="L166" s="56"/>
      <c r="M166" s="61">
        <v>6.0000000000000036</v>
      </c>
      <c r="N166" s="62">
        <v>1</v>
      </c>
      <c r="O166" s="62">
        <v>4.0000000000000027</v>
      </c>
      <c r="P166" s="62">
        <v>6.0000000000000036</v>
      </c>
      <c r="Q166" s="62">
        <v>6.0000000000000036</v>
      </c>
      <c r="R166" s="62">
        <v>1</v>
      </c>
      <c r="S166" s="62">
        <v>1</v>
      </c>
      <c r="T166" s="63">
        <v>6.0000000000000036</v>
      </c>
      <c r="U166" s="66" t="e">
        <f t="shared" ref="U166:U194" ca="1" si="85">(L166-(YEAR(TODAY())-K166))/L166</f>
        <v>#DIV/0!</v>
      </c>
      <c r="V166" s="66">
        <f t="shared" ref="V166:V194" ca="1" si="86">IFERROR(U166,J166)</f>
        <v>0.5</v>
      </c>
      <c r="W166" s="70">
        <f t="shared" ref="W166:W194" si="87">M166*Weight1/(WSum)</f>
        <v>0.94736842105263208</v>
      </c>
      <c r="X166" s="70">
        <f t="shared" ref="X166:X194" si="88">N166*Weight2/(WSum)</f>
        <v>0.10526315789473684</v>
      </c>
      <c r="Y166" s="70">
        <f t="shared" ref="Y166:Y194" si="89">O166*Weight3/(WSum)</f>
        <v>0.56140350877193024</v>
      </c>
      <c r="Z166" s="70">
        <f t="shared" ref="Z166:Z194" si="90">P166*Weight4/(WSum)</f>
        <v>1.052631578947369</v>
      </c>
      <c r="AA166" s="70">
        <f t="shared" ref="AA166:AA194" si="91">Q166*Weight5/(WSum)</f>
        <v>0.52631578947368451</v>
      </c>
      <c r="AB166" s="70">
        <f t="shared" ref="AB166:AB194" si="92">R166*Weight6/(WSum)</f>
        <v>0.12280701754385964</v>
      </c>
      <c r="AC166" s="70">
        <f t="shared" ref="AC166:AC194" si="93">S166*Weight7/(WSum)</f>
        <v>0.10526315789473684</v>
      </c>
      <c r="AD166" s="71">
        <f t="shared" ref="AD166:AD194" si="94">T166*Weight8/(WSum)</f>
        <v>0.63157894736842146</v>
      </c>
      <c r="AE166" s="72">
        <f t="shared" ref="AE166:AE194" si="95">-1/10*I166+1</f>
        <v>0.8</v>
      </c>
      <c r="AF166" s="72">
        <f t="shared" ref="AF166:AF194" ca="1" si="96">IF(V166&lt;0,0,-V166+1)</f>
        <v>0.5</v>
      </c>
      <c r="AG166" s="73">
        <f t="shared" ref="AG166:AG194" ca="1" si="97">(AE166*CondWeight+AF166*PLifeWeight)/(CondWeight+PLifeWeight)</f>
        <v>0.70000000000000007</v>
      </c>
      <c r="AH166" s="456">
        <f t="shared" ref="AH166:AH194" si="98">SUM(W166:AD166)</f>
        <v>4.0526315789473708</v>
      </c>
      <c r="AI166" s="467">
        <f t="shared" ref="AI166:AI194" ca="1" si="99">AH166*AG166*10</f>
        <v>28.368421052631597</v>
      </c>
      <c r="AJ166" s="458" t="str">
        <f t="shared" ref="AJ166:AJ194" ca="1" si="100">IF(AG166&gt;$AG$2,IF(AH166&gt;$AH$2,"Q1","Q2"),IF(AH166&gt;$AH$2,"Q3","Q4"))</f>
        <v>Q4</v>
      </c>
      <c r="AK166" s="95" t="s">
        <v>360</v>
      </c>
      <c r="AL166" s="572"/>
      <c r="AM166" s="117"/>
      <c r="AN166" s="113"/>
      <c r="AO166" s="113"/>
      <c r="AP166" s="113"/>
      <c r="AQ166" s="121"/>
      <c r="AR166" s="436"/>
      <c r="AS166" s="437"/>
      <c r="AT166" s="437"/>
      <c r="AU166" s="437"/>
      <c r="AV166" s="437"/>
      <c r="AW166" s="94"/>
    </row>
    <row r="167" spans="1:49" ht="36" customHeight="1">
      <c r="A167" s="5">
        <v>324</v>
      </c>
      <c r="B167" s="625">
        <v>271</v>
      </c>
      <c r="C167" s="6" t="s">
        <v>6</v>
      </c>
      <c r="D167" s="371" t="s">
        <v>7</v>
      </c>
      <c r="E167" s="7" t="s">
        <v>1093</v>
      </c>
      <c r="F167" s="9" t="s">
        <v>1384</v>
      </c>
      <c r="G167" s="8"/>
      <c r="H167" s="600">
        <v>300000</v>
      </c>
      <c r="I167" s="50">
        <v>5</v>
      </c>
      <c r="J167" s="55">
        <v>0.4</v>
      </c>
      <c r="K167" s="49"/>
      <c r="L167" s="56"/>
      <c r="M167" s="61">
        <v>6.0000000000000036</v>
      </c>
      <c r="N167" s="62">
        <v>8</v>
      </c>
      <c r="O167" s="62">
        <v>4.0000000000000027</v>
      </c>
      <c r="P167" s="62">
        <v>6.0000000000000036</v>
      </c>
      <c r="Q167" s="62">
        <v>1</v>
      </c>
      <c r="R167" s="62">
        <v>8</v>
      </c>
      <c r="S167" s="62">
        <v>0</v>
      </c>
      <c r="T167" s="63">
        <v>8</v>
      </c>
      <c r="U167" s="66" t="e">
        <f t="shared" ca="1" si="85"/>
        <v>#DIV/0!</v>
      </c>
      <c r="V167" s="66">
        <f t="shared" ca="1" si="86"/>
        <v>0.4</v>
      </c>
      <c r="W167" s="70">
        <f t="shared" si="87"/>
        <v>0.94736842105263208</v>
      </c>
      <c r="X167" s="70">
        <f t="shared" si="88"/>
        <v>0.84210526315789469</v>
      </c>
      <c r="Y167" s="70">
        <f t="shared" si="89"/>
        <v>0.56140350877193024</v>
      </c>
      <c r="Z167" s="70">
        <f t="shared" si="90"/>
        <v>1.052631578947369</v>
      </c>
      <c r="AA167" s="70">
        <f t="shared" si="91"/>
        <v>8.771929824561403E-2</v>
      </c>
      <c r="AB167" s="70">
        <f t="shared" si="92"/>
        <v>0.98245614035087714</v>
      </c>
      <c r="AC167" s="70">
        <f t="shared" si="93"/>
        <v>0</v>
      </c>
      <c r="AD167" s="71">
        <f t="shared" si="94"/>
        <v>0.84210526315789469</v>
      </c>
      <c r="AE167" s="72">
        <f t="shared" si="95"/>
        <v>0.5</v>
      </c>
      <c r="AF167" s="72">
        <f t="shared" ca="1" si="96"/>
        <v>0.6</v>
      </c>
      <c r="AG167" s="73">
        <f t="shared" ca="1" si="97"/>
        <v>0.53333333333333333</v>
      </c>
      <c r="AH167" s="456">
        <f t="shared" si="98"/>
        <v>5.3157894736842115</v>
      </c>
      <c r="AI167" s="467">
        <f t="shared" ca="1" si="99"/>
        <v>28.350877192982459</v>
      </c>
      <c r="AJ167" s="458" t="str">
        <f t="shared" ca="1" si="100"/>
        <v>Q4</v>
      </c>
      <c r="AK167" s="95" t="s">
        <v>360</v>
      </c>
      <c r="AL167" s="572"/>
      <c r="AM167" s="421"/>
      <c r="AN167" s="119"/>
      <c r="AO167" s="113"/>
      <c r="AP167" s="113"/>
      <c r="AQ167" s="121"/>
      <c r="AR167" s="438"/>
      <c r="AS167" s="437"/>
      <c r="AT167" s="437"/>
      <c r="AU167" s="437"/>
      <c r="AV167" s="437"/>
      <c r="AW167" s="94"/>
    </row>
    <row r="168" spans="1:49" ht="36" customHeight="1">
      <c r="A168" s="5">
        <v>116</v>
      </c>
      <c r="B168" s="625">
        <v>275</v>
      </c>
      <c r="C168" s="14" t="s">
        <v>20</v>
      </c>
      <c r="D168" s="442" t="s">
        <v>7</v>
      </c>
      <c r="E168" s="7" t="s">
        <v>1126</v>
      </c>
      <c r="F168" s="8" t="s">
        <v>285</v>
      </c>
      <c r="G168" s="8" t="s">
        <v>286</v>
      </c>
      <c r="H168" s="600">
        <v>194000</v>
      </c>
      <c r="I168" s="50">
        <v>2</v>
      </c>
      <c r="J168" s="55">
        <v>0.2</v>
      </c>
      <c r="K168" s="49"/>
      <c r="L168" s="56"/>
      <c r="M168" s="61">
        <v>1</v>
      </c>
      <c r="N168" s="62">
        <v>4.0000000000000027</v>
      </c>
      <c r="O168" s="62">
        <v>1</v>
      </c>
      <c r="P168" s="62">
        <v>8.0000000000000053</v>
      </c>
      <c r="Q168" s="62">
        <v>1</v>
      </c>
      <c r="R168" s="62">
        <v>4.0000000000000027</v>
      </c>
      <c r="S168" s="62">
        <v>0</v>
      </c>
      <c r="T168" s="63">
        <v>6</v>
      </c>
      <c r="U168" s="66" t="e">
        <f t="shared" ca="1" si="85"/>
        <v>#DIV/0!</v>
      </c>
      <c r="V168" s="66">
        <f t="shared" ca="1" si="86"/>
        <v>0.2</v>
      </c>
      <c r="W168" s="70">
        <f t="shared" si="87"/>
        <v>0.15789473684210525</v>
      </c>
      <c r="X168" s="70">
        <f t="shared" si="88"/>
        <v>0.42105263157894762</v>
      </c>
      <c r="Y168" s="70">
        <f t="shared" si="89"/>
        <v>0.14035087719298245</v>
      </c>
      <c r="Z168" s="70">
        <f t="shared" si="90"/>
        <v>1.4035087719298256</v>
      </c>
      <c r="AA168" s="70">
        <f t="shared" si="91"/>
        <v>8.771929824561403E-2</v>
      </c>
      <c r="AB168" s="70">
        <f t="shared" si="92"/>
        <v>0.4912280701754389</v>
      </c>
      <c r="AC168" s="70">
        <f t="shared" si="93"/>
        <v>0</v>
      </c>
      <c r="AD168" s="71">
        <f t="shared" si="94"/>
        <v>0.63157894736842102</v>
      </c>
      <c r="AE168" s="72">
        <f t="shared" si="95"/>
        <v>0.8</v>
      </c>
      <c r="AF168" s="72">
        <f t="shared" ca="1" si="96"/>
        <v>0.8</v>
      </c>
      <c r="AG168" s="73">
        <f t="shared" ca="1" si="97"/>
        <v>0.80000000000000016</v>
      </c>
      <c r="AH168" s="456">
        <f t="shared" si="98"/>
        <v>3.3333333333333348</v>
      </c>
      <c r="AI168" s="467">
        <f t="shared" ca="1" si="99"/>
        <v>26.666666666666682</v>
      </c>
      <c r="AJ168" s="458" t="str">
        <f t="shared" ca="1" si="100"/>
        <v>Q2</v>
      </c>
      <c r="AK168" s="95" t="s">
        <v>360</v>
      </c>
      <c r="AL168" s="572"/>
      <c r="AM168" s="117"/>
      <c r="AN168" s="113"/>
      <c r="AO168" s="113"/>
      <c r="AP168" s="113"/>
      <c r="AQ168" s="121"/>
      <c r="AR168" s="436"/>
      <c r="AS168" s="437"/>
      <c r="AT168" s="437"/>
      <c r="AU168" s="437"/>
      <c r="AV168" s="437"/>
      <c r="AW168" s="94"/>
    </row>
    <row r="169" spans="1:49" ht="36" customHeight="1">
      <c r="A169" s="5">
        <v>143</v>
      </c>
      <c r="B169" s="625">
        <v>276</v>
      </c>
      <c r="C169" s="6" t="s">
        <v>6</v>
      </c>
      <c r="D169" s="371" t="s">
        <v>7</v>
      </c>
      <c r="E169" s="7" t="s">
        <v>324</v>
      </c>
      <c r="F169" s="9" t="s">
        <v>1222</v>
      </c>
      <c r="G169" s="8"/>
      <c r="H169" s="600">
        <v>125000</v>
      </c>
      <c r="I169" s="50">
        <v>5</v>
      </c>
      <c r="J169" s="55">
        <v>0.5</v>
      </c>
      <c r="K169" s="49"/>
      <c r="L169" s="56"/>
      <c r="M169" s="61">
        <v>6.0000000000000036</v>
      </c>
      <c r="N169" s="62">
        <v>8.0000000000000053</v>
      </c>
      <c r="O169" s="62">
        <v>4.0000000000000027</v>
      </c>
      <c r="P169" s="62">
        <v>6.0000000000000036</v>
      </c>
      <c r="Q169" s="62">
        <v>4.0000000000000027</v>
      </c>
      <c r="R169" s="62">
        <v>6.0000000000000036</v>
      </c>
      <c r="S169" s="62">
        <v>2</v>
      </c>
      <c r="T169" s="63">
        <v>6.0000000000000036</v>
      </c>
      <c r="U169" s="66" t="e">
        <f t="shared" ca="1" si="85"/>
        <v>#DIV/0!</v>
      </c>
      <c r="V169" s="66">
        <f t="shared" ca="1" si="86"/>
        <v>0.5</v>
      </c>
      <c r="W169" s="70">
        <f t="shared" si="87"/>
        <v>0.94736842105263208</v>
      </c>
      <c r="X169" s="70">
        <f t="shared" si="88"/>
        <v>0.84210526315789525</v>
      </c>
      <c r="Y169" s="70">
        <f t="shared" si="89"/>
        <v>0.56140350877193024</v>
      </c>
      <c r="Z169" s="70">
        <f t="shared" si="90"/>
        <v>1.052631578947369</v>
      </c>
      <c r="AA169" s="70">
        <f t="shared" si="91"/>
        <v>0.3508771929824564</v>
      </c>
      <c r="AB169" s="70">
        <f t="shared" si="92"/>
        <v>0.73684210526315841</v>
      </c>
      <c r="AC169" s="70">
        <f t="shared" si="93"/>
        <v>0.21052631578947367</v>
      </c>
      <c r="AD169" s="71">
        <f t="shared" si="94"/>
        <v>0.63157894736842146</v>
      </c>
      <c r="AE169" s="72">
        <f t="shared" si="95"/>
        <v>0.5</v>
      </c>
      <c r="AF169" s="72">
        <f t="shared" ca="1" si="96"/>
        <v>0.5</v>
      </c>
      <c r="AG169" s="73">
        <f t="shared" ca="1" si="97"/>
        <v>0.5</v>
      </c>
      <c r="AH169" s="456">
        <f t="shared" si="98"/>
        <v>5.3333333333333366</v>
      </c>
      <c r="AI169" s="467">
        <f t="shared" ca="1" si="99"/>
        <v>26.666666666666682</v>
      </c>
      <c r="AJ169" s="458" t="str">
        <f t="shared" ca="1" si="100"/>
        <v>Q4</v>
      </c>
      <c r="AK169" s="95" t="s">
        <v>360</v>
      </c>
      <c r="AL169" s="572"/>
      <c r="AM169" s="117"/>
      <c r="AN169" s="113"/>
      <c r="AO169" s="113"/>
      <c r="AP169" s="113"/>
      <c r="AQ169" s="121"/>
      <c r="AR169" s="438"/>
      <c r="AS169" s="437"/>
      <c r="AT169" s="437"/>
      <c r="AU169" s="437"/>
      <c r="AV169" s="437"/>
      <c r="AW169" s="94"/>
    </row>
    <row r="170" spans="1:49" ht="36" customHeight="1">
      <c r="A170" s="5"/>
      <c r="B170" s="625">
        <v>277</v>
      </c>
      <c r="C170" s="6" t="s">
        <v>8</v>
      </c>
      <c r="D170" s="371" t="s">
        <v>7</v>
      </c>
      <c r="E170" s="18" t="s">
        <v>298</v>
      </c>
      <c r="F170" s="19" t="s">
        <v>1341</v>
      </c>
      <c r="G170" s="20" t="s">
        <v>299</v>
      </c>
      <c r="H170" s="603">
        <v>86607</v>
      </c>
      <c r="I170" s="50">
        <v>3</v>
      </c>
      <c r="J170" s="55">
        <v>0</v>
      </c>
      <c r="K170" s="49"/>
      <c r="L170" s="56"/>
      <c r="M170" s="61">
        <v>4.0000000000000027</v>
      </c>
      <c r="N170" s="62">
        <v>4.0000000000000027</v>
      </c>
      <c r="O170" s="62">
        <v>1</v>
      </c>
      <c r="P170" s="62">
        <v>6.0000000000000036</v>
      </c>
      <c r="Q170" s="62">
        <v>6.0000000000000036</v>
      </c>
      <c r="R170" s="62">
        <v>1</v>
      </c>
      <c r="S170" s="62">
        <v>0</v>
      </c>
      <c r="T170" s="63">
        <v>4.0000000000000027</v>
      </c>
      <c r="U170" s="66" t="e">
        <f t="shared" ca="1" si="85"/>
        <v>#DIV/0!</v>
      </c>
      <c r="V170" s="66">
        <f t="shared" ca="1" si="86"/>
        <v>0</v>
      </c>
      <c r="W170" s="70">
        <f t="shared" si="87"/>
        <v>0.63157894736842146</v>
      </c>
      <c r="X170" s="70">
        <f t="shared" si="88"/>
        <v>0.42105263157894762</v>
      </c>
      <c r="Y170" s="70">
        <f t="shared" si="89"/>
        <v>0.14035087719298245</v>
      </c>
      <c r="Z170" s="70">
        <f t="shared" si="90"/>
        <v>1.052631578947369</v>
      </c>
      <c r="AA170" s="70">
        <f t="shared" si="91"/>
        <v>0.52631578947368451</v>
      </c>
      <c r="AB170" s="70">
        <f t="shared" si="92"/>
        <v>0.12280701754385964</v>
      </c>
      <c r="AC170" s="70">
        <f t="shared" si="93"/>
        <v>0</v>
      </c>
      <c r="AD170" s="71">
        <f t="shared" si="94"/>
        <v>0.42105263157894762</v>
      </c>
      <c r="AE170" s="72">
        <f t="shared" si="95"/>
        <v>0.7</v>
      </c>
      <c r="AF170" s="72">
        <f t="shared" ca="1" si="96"/>
        <v>1</v>
      </c>
      <c r="AG170" s="73">
        <f t="shared" ca="1" si="97"/>
        <v>0.79999999999999993</v>
      </c>
      <c r="AH170" s="456">
        <f t="shared" si="98"/>
        <v>3.3157894736842124</v>
      </c>
      <c r="AI170" s="467">
        <f t="shared" ca="1" si="99"/>
        <v>26.526315789473696</v>
      </c>
      <c r="AJ170" s="458" t="str">
        <f t="shared" ca="1" si="100"/>
        <v>Q2</v>
      </c>
      <c r="AK170" s="95" t="s">
        <v>360</v>
      </c>
      <c r="AL170" s="572"/>
      <c r="AM170" s="117"/>
      <c r="AN170" s="113"/>
      <c r="AO170" s="113"/>
      <c r="AP170" s="113"/>
      <c r="AQ170" s="121"/>
      <c r="AR170" s="438"/>
      <c r="AS170" s="437"/>
      <c r="AT170" s="437"/>
      <c r="AU170" s="437"/>
      <c r="AV170" s="437"/>
      <c r="AW170" s="94"/>
    </row>
    <row r="171" spans="1:49" ht="36" customHeight="1">
      <c r="A171" s="5">
        <v>233</v>
      </c>
      <c r="B171" s="625">
        <v>278</v>
      </c>
      <c r="C171" s="6" t="s">
        <v>8</v>
      </c>
      <c r="D171" s="371" t="s">
        <v>7</v>
      </c>
      <c r="E171" s="18" t="s">
        <v>328</v>
      </c>
      <c r="F171" s="20" t="s">
        <v>1514</v>
      </c>
      <c r="G171" s="20" t="s">
        <v>329</v>
      </c>
      <c r="H171" s="603">
        <v>97000</v>
      </c>
      <c r="I171" s="50">
        <v>3</v>
      </c>
      <c r="J171" s="55">
        <v>0</v>
      </c>
      <c r="K171" s="49"/>
      <c r="L171" s="56"/>
      <c r="M171" s="61">
        <v>4.0000000000000027</v>
      </c>
      <c r="N171" s="62">
        <v>1</v>
      </c>
      <c r="O171" s="62">
        <v>6.0000000000000036</v>
      </c>
      <c r="P171" s="62">
        <v>1</v>
      </c>
      <c r="Q171" s="62">
        <v>8.0000000000000053</v>
      </c>
      <c r="R171" s="62">
        <v>1</v>
      </c>
      <c r="S171" s="62">
        <v>3</v>
      </c>
      <c r="T171" s="63">
        <v>4.0000000000000027</v>
      </c>
      <c r="U171" s="66" t="e">
        <f t="shared" ca="1" si="85"/>
        <v>#DIV/0!</v>
      </c>
      <c r="V171" s="66">
        <f t="shared" ca="1" si="86"/>
        <v>0</v>
      </c>
      <c r="W171" s="70">
        <f t="shared" si="87"/>
        <v>0.63157894736842146</v>
      </c>
      <c r="X171" s="70">
        <f t="shared" si="88"/>
        <v>0.10526315789473684</v>
      </c>
      <c r="Y171" s="70">
        <f t="shared" si="89"/>
        <v>0.84210526315789525</v>
      </c>
      <c r="Z171" s="70">
        <f t="shared" si="90"/>
        <v>0.17543859649122806</v>
      </c>
      <c r="AA171" s="70">
        <f t="shared" si="91"/>
        <v>0.7017543859649128</v>
      </c>
      <c r="AB171" s="70">
        <f t="shared" si="92"/>
        <v>0.12280701754385964</v>
      </c>
      <c r="AC171" s="70">
        <f t="shared" si="93"/>
        <v>0.31578947368421051</v>
      </c>
      <c r="AD171" s="71">
        <f t="shared" si="94"/>
        <v>0.42105263157894762</v>
      </c>
      <c r="AE171" s="72">
        <f t="shared" si="95"/>
        <v>0.7</v>
      </c>
      <c r="AF171" s="72">
        <f t="shared" ca="1" si="96"/>
        <v>1</v>
      </c>
      <c r="AG171" s="73">
        <f t="shared" ca="1" si="97"/>
        <v>0.79999999999999993</v>
      </c>
      <c r="AH171" s="456">
        <f t="shared" si="98"/>
        <v>3.3157894736842124</v>
      </c>
      <c r="AI171" s="467">
        <f t="shared" ca="1" si="99"/>
        <v>26.526315789473696</v>
      </c>
      <c r="AJ171" s="458" t="str">
        <f t="shared" ca="1" si="100"/>
        <v>Q2</v>
      </c>
      <c r="AK171" s="95" t="s">
        <v>360</v>
      </c>
      <c r="AL171" s="111"/>
      <c r="AM171" s="117"/>
      <c r="AN171" s="113"/>
      <c r="AO171" s="113"/>
      <c r="AP171" s="113"/>
      <c r="AQ171" s="121"/>
      <c r="AR171" s="436"/>
      <c r="AS171" s="437"/>
      <c r="AT171" s="437"/>
      <c r="AU171" s="437"/>
      <c r="AV171" s="437"/>
      <c r="AW171" s="94"/>
    </row>
    <row r="172" spans="1:49" ht="36" customHeight="1">
      <c r="A172" s="5">
        <v>318</v>
      </c>
      <c r="B172" s="625">
        <v>279</v>
      </c>
      <c r="C172" s="6" t="s">
        <v>53</v>
      </c>
      <c r="D172" s="371" t="s">
        <v>7</v>
      </c>
      <c r="E172" s="18" t="s">
        <v>125</v>
      </c>
      <c r="F172" s="20" t="s">
        <v>126</v>
      </c>
      <c r="G172" s="20" t="s">
        <v>127</v>
      </c>
      <c r="H172" s="603">
        <v>140000</v>
      </c>
      <c r="I172" s="50">
        <v>3</v>
      </c>
      <c r="J172" s="55">
        <v>0.1</v>
      </c>
      <c r="K172" s="49"/>
      <c r="L172" s="56"/>
      <c r="M172" s="61">
        <v>5</v>
      </c>
      <c r="N172" s="62">
        <v>1</v>
      </c>
      <c r="O172" s="62">
        <v>3</v>
      </c>
      <c r="P172" s="62">
        <v>4</v>
      </c>
      <c r="Q172" s="62">
        <v>4</v>
      </c>
      <c r="R172" s="62">
        <v>1</v>
      </c>
      <c r="S172" s="62">
        <v>3</v>
      </c>
      <c r="T172" s="63">
        <v>6.0000000000000036</v>
      </c>
      <c r="U172" s="66" t="e">
        <f t="shared" ca="1" si="85"/>
        <v>#DIV/0!</v>
      </c>
      <c r="V172" s="66">
        <f t="shared" ca="1" si="86"/>
        <v>0.1</v>
      </c>
      <c r="W172" s="70">
        <f t="shared" si="87"/>
        <v>0.78947368421052633</v>
      </c>
      <c r="X172" s="70">
        <f t="shared" si="88"/>
        <v>0.10526315789473684</v>
      </c>
      <c r="Y172" s="70">
        <f t="shared" si="89"/>
        <v>0.42105263157894735</v>
      </c>
      <c r="Z172" s="70">
        <f t="shared" si="90"/>
        <v>0.70175438596491224</v>
      </c>
      <c r="AA172" s="70">
        <f t="shared" si="91"/>
        <v>0.35087719298245612</v>
      </c>
      <c r="AB172" s="70">
        <f t="shared" si="92"/>
        <v>0.12280701754385964</v>
      </c>
      <c r="AC172" s="70">
        <f t="shared" si="93"/>
        <v>0.31578947368421051</v>
      </c>
      <c r="AD172" s="71">
        <f t="shared" si="94"/>
        <v>0.63157894736842146</v>
      </c>
      <c r="AE172" s="72">
        <f t="shared" si="95"/>
        <v>0.7</v>
      </c>
      <c r="AF172" s="72">
        <f t="shared" ca="1" si="96"/>
        <v>0.9</v>
      </c>
      <c r="AG172" s="73">
        <f t="shared" ca="1" si="97"/>
        <v>0.76666666666666661</v>
      </c>
      <c r="AH172" s="456">
        <f t="shared" si="98"/>
        <v>3.4385964912280702</v>
      </c>
      <c r="AI172" s="467">
        <f t="shared" ca="1" si="99"/>
        <v>26.362573099415201</v>
      </c>
      <c r="AJ172" s="458" t="str">
        <f t="shared" ca="1" si="100"/>
        <v>Q2</v>
      </c>
      <c r="AK172" s="95" t="s">
        <v>360</v>
      </c>
      <c r="AL172" s="573"/>
      <c r="AM172" s="117"/>
      <c r="AN172" s="113"/>
      <c r="AO172" s="113"/>
      <c r="AP172" s="113"/>
      <c r="AQ172" s="121"/>
      <c r="AR172" s="436"/>
      <c r="AS172" s="437"/>
      <c r="AT172" s="437"/>
      <c r="AU172" s="437"/>
      <c r="AV172" s="437"/>
      <c r="AW172" s="94"/>
    </row>
    <row r="173" spans="1:49" ht="36" customHeight="1">
      <c r="A173" s="5">
        <v>188</v>
      </c>
      <c r="B173" s="625">
        <v>280</v>
      </c>
      <c r="C173" s="6" t="s">
        <v>12</v>
      </c>
      <c r="D173" s="371" t="s">
        <v>418</v>
      </c>
      <c r="E173" s="12" t="s">
        <v>1494</v>
      </c>
      <c r="F173" s="22" t="s">
        <v>1241</v>
      </c>
      <c r="G173" s="127" t="s">
        <v>265</v>
      </c>
      <c r="H173" s="603">
        <v>600000</v>
      </c>
      <c r="I173" s="50">
        <v>7</v>
      </c>
      <c r="J173" s="55">
        <v>0.6</v>
      </c>
      <c r="K173" s="49"/>
      <c r="L173" s="56"/>
      <c r="M173" s="61">
        <v>9.9999999999999982</v>
      </c>
      <c r="N173" s="62">
        <v>9.9999999999999982</v>
      </c>
      <c r="O173" s="62">
        <v>8.0000000000000053</v>
      </c>
      <c r="P173" s="62">
        <v>9.9999999999999982</v>
      </c>
      <c r="Q173" s="62">
        <v>6.0000000000000036</v>
      </c>
      <c r="R173" s="62">
        <v>8.0000000000000053</v>
      </c>
      <c r="S173" s="62">
        <v>0</v>
      </c>
      <c r="T173" s="63">
        <v>8.0000000000000053</v>
      </c>
      <c r="U173" s="66" t="e">
        <f t="shared" ca="1" si="85"/>
        <v>#DIV/0!</v>
      </c>
      <c r="V173" s="66">
        <f t="shared" ca="1" si="86"/>
        <v>0.6</v>
      </c>
      <c r="W173" s="70">
        <f t="shared" si="87"/>
        <v>1.5789473684210524</v>
      </c>
      <c r="X173" s="70">
        <f t="shared" si="88"/>
        <v>1.0526315789473681</v>
      </c>
      <c r="Y173" s="70">
        <f t="shared" si="89"/>
        <v>1.1228070175438605</v>
      </c>
      <c r="Z173" s="70">
        <f t="shared" si="90"/>
        <v>1.7543859649122804</v>
      </c>
      <c r="AA173" s="70">
        <f t="shared" si="91"/>
        <v>0.52631578947368451</v>
      </c>
      <c r="AB173" s="70">
        <f t="shared" si="92"/>
        <v>0.9824561403508778</v>
      </c>
      <c r="AC173" s="70">
        <f t="shared" si="93"/>
        <v>0</v>
      </c>
      <c r="AD173" s="71">
        <f t="shared" si="94"/>
        <v>0.84210526315789525</v>
      </c>
      <c r="AE173" s="72">
        <f t="shared" si="95"/>
        <v>0.29999999999999993</v>
      </c>
      <c r="AF173" s="72">
        <f t="shared" ca="1" si="96"/>
        <v>0.4</v>
      </c>
      <c r="AG173" s="73">
        <f t="shared" ca="1" si="97"/>
        <v>0.33333333333333331</v>
      </c>
      <c r="AH173" s="456">
        <f t="shared" si="98"/>
        <v>7.8596491228070198</v>
      </c>
      <c r="AI173" s="467">
        <f t="shared" ca="1" si="99"/>
        <v>26.198830409356731</v>
      </c>
      <c r="AJ173" s="458" t="str">
        <f t="shared" ca="1" si="100"/>
        <v>Q3</v>
      </c>
      <c r="AK173" s="95" t="s">
        <v>360</v>
      </c>
      <c r="AL173" s="572"/>
      <c r="AM173" s="117"/>
      <c r="AN173" s="113"/>
      <c r="AO173" s="113"/>
      <c r="AP173" s="113"/>
      <c r="AQ173" s="121"/>
      <c r="AR173" s="436"/>
      <c r="AS173" s="437"/>
      <c r="AT173" s="437"/>
      <c r="AU173" s="437"/>
      <c r="AV173" s="437"/>
      <c r="AW173" s="94"/>
    </row>
    <row r="174" spans="1:49" ht="36" customHeight="1">
      <c r="A174" s="5">
        <v>136</v>
      </c>
      <c r="B174" s="625">
        <v>281</v>
      </c>
      <c r="C174" s="6" t="s">
        <v>6</v>
      </c>
      <c r="D174" s="371" t="s">
        <v>7</v>
      </c>
      <c r="E174" s="7" t="s">
        <v>1091</v>
      </c>
      <c r="F174" s="9" t="s">
        <v>1222</v>
      </c>
      <c r="G174" s="8"/>
      <c r="H174" s="600">
        <v>75000</v>
      </c>
      <c r="I174" s="50">
        <v>5</v>
      </c>
      <c r="J174" s="55">
        <v>0.5</v>
      </c>
      <c r="K174" s="49"/>
      <c r="L174" s="56"/>
      <c r="M174" s="61">
        <v>6.0000000000000036</v>
      </c>
      <c r="N174" s="62">
        <v>8.0000000000000053</v>
      </c>
      <c r="O174" s="62">
        <v>4.0000000000000027</v>
      </c>
      <c r="P174" s="62">
        <v>6.0000000000000036</v>
      </c>
      <c r="Q174" s="62">
        <v>4.0000000000000027</v>
      </c>
      <c r="R174" s="62">
        <v>6.0000000000000036</v>
      </c>
      <c r="S174" s="62">
        <v>1</v>
      </c>
      <c r="T174" s="63">
        <v>6.0000000000000036</v>
      </c>
      <c r="U174" s="66" t="e">
        <f t="shared" ca="1" si="85"/>
        <v>#DIV/0!</v>
      </c>
      <c r="V174" s="66">
        <f t="shared" ca="1" si="86"/>
        <v>0.5</v>
      </c>
      <c r="W174" s="70">
        <f t="shared" si="87"/>
        <v>0.94736842105263208</v>
      </c>
      <c r="X174" s="70">
        <f t="shared" si="88"/>
        <v>0.84210526315789525</v>
      </c>
      <c r="Y174" s="70">
        <f t="shared" si="89"/>
        <v>0.56140350877193024</v>
      </c>
      <c r="Z174" s="70">
        <f t="shared" si="90"/>
        <v>1.052631578947369</v>
      </c>
      <c r="AA174" s="70">
        <f t="shared" si="91"/>
        <v>0.3508771929824564</v>
      </c>
      <c r="AB174" s="70">
        <f t="shared" si="92"/>
        <v>0.73684210526315841</v>
      </c>
      <c r="AC174" s="70">
        <f t="shared" si="93"/>
        <v>0.10526315789473684</v>
      </c>
      <c r="AD174" s="71">
        <f t="shared" si="94"/>
        <v>0.63157894736842146</v>
      </c>
      <c r="AE174" s="72">
        <f t="shared" si="95"/>
        <v>0.5</v>
      </c>
      <c r="AF174" s="72">
        <f t="shared" ca="1" si="96"/>
        <v>0.5</v>
      </c>
      <c r="AG174" s="73">
        <f t="shared" ca="1" si="97"/>
        <v>0.5</v>
      </c>
      <c r="AH174" s="456">
        <f t="shared" si="98"/>
        <v>5.2280701754386003</v>
      </c>
      <c r="AI174" s="467">
        <f t="shared" ca="1" si="99"/>
        <v>26.140350877193001</v>
      </c>
      <c r="AJ174" s="458" t="str">
        <f t="shared" ca="1" si="100"/>
        <v>Q4</v>
      </c>
      <c r="AK174" s="95" t="s">
        <v>360</v>
      </c>
      <c r="AL174" s="572"/>
      <c r="AM174" s="117"/>
      <c r="AN174" s="113"/>
      <c r="AO174" s="113"/>
      <c r="AP174" s="113"/>
      <c r="AQ174" s="121"/>
      <c r="AR174" s="436"/>
      <c r="AS174" s="437"/>
      <c r="AT174" s="437"/>
      <c r="AU174" s="437"/>
      <c r="AV174" s="437"/>
      <c r="AW174" s="94"/>
    </row>
    <row r="175" spans="1:49" ht="36" customHeight="1">
      <c r="A175" s="5"/>
      <c r="B175" s="625">
        <v>282</v>
      </c>
      <c r="C175" s="6" t="s">
        <v>6</v>
      </c>
      <c r="D175" s="371" t="s">
        <v>7</v>
      </c>
      <c r="E175" s="7" t="s">
        <v>321</v>
      </c>
      <c r="F175" s="9" t="s">
        <v>1223</v>
      </c>
      <c r="G175" s="8"/>
      <c r="H175" s="600">
        <v>100000</v>
      </c>
      <c r="I175" s="50">
        <v>5</v>
      </c>
      <c r="J175" s="55">
        <v>0.5</v>
      </c>
      <c r="K175" s="49"/>
      <c r="L175" s="56"/>
      <c r="M175" s="61">
        <v>6.0000000000000036</v>
      </c>
      <c r="N175" s="62">
        <v>8.0000000000000053</v>
      </c>
      <c r="O175" s="62">
        <v>4.0000000000000027</v>
      </c>
      <c r="P175" s="62">
        <v>6.0000000000000036</v>
      </c>
      <c r="Q175" s="62">
        <v>4.0000000000000027</v>
      </c>
      <c r="R175" s="62">
        <v>6.0000000000000036</v>
      </c>
      <c r="S175" s="62">
        <v>1</v>
      </c>
      <c r="T175" s="63">
        <v>6.0000000000000036</v>
      </c>
      <c r="U175" s="66" t="e">
        <f t="shared" ca="1" si="85"/>
        <v>#DIV/0!</v>
      </c>
      <c r="V175" s="66">
        <f t="shared" ca="1" si="86"/>
        <v>0.5</v>
      </c>
      <c r="W175" s="70">
        <f t="shared" si="87"/>
        <v>0.94736842105263208</v>
      </c>
      <c r="X175" s="70">
        <f t="shared" si="88"/>
        <v>0.84210526315789525</v>
      </c>
      <c r="Y175" s="70">
        <f t="shared" si="89"/>
        <v>0.56140350877193024</v>
      </c>
      <c r="Z175" s="70">
        <f t="shared" si="90"/>
        <v>1.052631578947369</v>
      </c>
      <c r="AA175" s="70">
        <f t="shared" si="91"/>
        <v>0.3508771929824564</v>
      </c>
      <c r="AB175" s="70">
        <f t="shared" si="92"/>
        <v>0.73684210526315841</v>
      </c>
      <c r="AC175" s="70">
        <f t="shared" si="93"/>
        <v>0.10526315789473684</v>
      </c>
      <c r="AD175" s="71">
        <f t="shared" si="94"/>
        <v>0.63157894736842146</v>
      </c>
      <c r="AE175" s="72">
        <f t="shared" si="95"/>
        <v>0.5</v>
      </c>
      <c r="AF175" s="72">
        <f t="shared" ca="1" si="96"/>
        <v>0.5</v>
      </c>
      <c r="AG175" s="73">
        <f t="shared" ca="1" si="97"/>
        <v>0.5</v>
      </c>
      <c r="AH175" s="456">
        <f t="shared" si="98"/>
        <v>5.2280701754386003</v>
      </c>
      <c r="AI175" s="467">
        <f t="shared" ca="1" si="99"/>
        <v>26.140350877193001</v>
      </c>
      <c r="AJ175" s="458" t="str">
        <f t="shared" ca="1" si="100"/>
        <v>Q4</v>
      </c>
      <c r="AK175" s="95" t="s">
        <v>360</v>
      </c>
      <c r="AL175" s="572"/>
      <c r="AM175" s="117"/>
      <c r="AN175" s="113"/>
      <c r="AO175" s="113"/>
      <c r="AP175" s="113"/>
      <c r="AQ175" s="121"/>
      <c r="AR175" s="436"/>
      <c r="AS175" s="437"/>
      <c r="AT175" s="437"/>
      <c r="AU175" s="437"/>
      <c r="AV175" s="437"/>
      <c r="AW175" s="94"/>
    </row>
    <row r="176" spans="1:49" ht="36" customHeight="1">
      <c r="A176" s="5">
        <v>228</v>
      </c>
      <c r="B176" s="625">
        <v>283</v>
      </c>
      <c r="C176" s="6" t="s">
        <v>6</v>
      </c>
      <c r="D176" s="371" t="s">
        <v>7</v>
      </c>
      <c r="E176" s="7" t="s">
        <v>349</v>
      </c>
      <c r="F176" s="9" t="s">
        <v>1224</v>
      </c>
      <c r="G176" s="8"/>
      <c r="H176" s="600">
        <v>100000</v>
      </c>
      <c r="I176" s="50">
        <v>5</v>
      </c>
      <c r="J176" s="55">
        <v>0.5</v>
      </c>
      <c r="K176" s="49"/>
      <c r="L176" s="56"/>
      <c r="M176" s="61">
        <v>6.0000000000000036</v>
      </c>
      <c r="N176" s="62">
        <v>8.0000000000000053</v>
      </c>
      <c r="O176" s="62">
        <v>4.0000000000000027</v>
      </c>
      <c r="P176" s="62">
        <v>6.0000000000000036</v>
      </c>
      <c r="Q176" s="62">
        <v>4.0000000000000027</v>
      </c>
      <c r="R176" s="62">
        <v>6.0000000000000036</v>
      </c>
      <c r="S176" s="62">
        <v>1</v>
      </c>
      <c r="T176" s="63">
        <v>6.0000000000000036</v>
      </c>
      <c r="U176" s="66" t="e">
        <f t="shared" ca="1" si="85"/>
        <v>#DIV/0!</v>
      </c>
      <c r="V176" s="66">
        <f t="shared" ca="1" si="86"/>
        <v>0.5</v>
      </c>
      <c r="W176" s="70">
        <f t="shared" si="87"/>
        <v>0.94736842105263208</v>
      </c>
      <c r="X176" s="70">
        <f t="shared" si="88"/>
        <v>0.84210526315789525</v>
      </c>
      <c r="Y176" s="70">
        <f t="shared" si="89"/>
        <v>0.56140350877193024</v>
      </c>
      <c r="Z176" s="70">
        <f t="shared" si="90"/>
        <v>1.052631578947369</v>
      </c>
      <c r="AA176" s="70">
        <f t="shared" si="91"/>
        <v>0.3508771929824564</v>
      </c>
      <c r="AB176" s="70">
        <f t="shared" si="92"/>
        <v>0.73684210526315841</v>
      </c>
      <c r="AC176" s="70">
        <f t="shared" si="93"/>
        <v>0.10526315789473684</v>
      </c>
      <c r="AD176" s="71">
        <f t="shared" si="94"/>
        <v>0.63157894736842146</v>
      </c>
      <c r="AE176" s="72">
        <f t="shared" si="95"/>
        <v>0.5</v>
      </c>
      <c r="AF176" s="72">
        <f t="shared" ca="1" si="96"/>
        <v>0.5</v>
      </c>
      <c r="AG176" s="73">
        <f t="shared" ca="1" si="97"/>
        <v>0.5</v>
      </c>
      <c r="AH176" s="456">
        <f t="shared" si="98"/>
        <v>5.2280701754386003</v>
      </c>
      <c r="AI176" s="467">
        <f t="shared" ca="1" si="99"/>
        <v>26.140350877193001</v>
      </c>
      <c r="AJ176" s="458" t="str">
        <f t="shared" ca="1" si="100"/>
        <v>Q4</v>
      </c>
      <c r="AK176" s="95" t="s">
        <v>360</v>
      </c>
      <c r="AL176" s="572"/>
      <c r="AM176" s="117"/>
      <c r="AN176" s="113"/>
      <c r="AO176" s="113"/>
      <c r="AP176" s="113"/>
      <c r="AQ176" s="121"/>
      <c r="AR176" s="436"/>
      <c r="AS176" s="437"/>
      <c r="AT176" s="437"/>
      <c r="AU176" s="437"/>
      <c r="AV176" s="437"/>
      <c r="AW176" s="94"/>
    </row>
    <row r="177" spans="1:49" ht="36" customHeight="1">
      <c r="A177" s="5">
        <v>99</v>
      </c>
      <c r="B177" s="625">
        <v>284</v>
      </c>
      <c r="C177" s="6" t="s">
        <v>18</v>
      </c>
      <c r="D177" s="371" t="s">
        <v>416</v>
      </c>
      <c r="E177" s="12" t="s">
        <v>214</v>
      </c>
      <c r="F177" s="22" t="s">
        <v>215</v>
      </c>
      <c r="G177" s="112" t="s">
        <v>77</v>
      </c>
      <c r="H177" s="600">
        <v>100000</v>
      </c>
      <c r="I177" s="49">
        <v>4</v>
      </c>
      <c r="J177" s="55">
        <v>0.3</v>
      </c>
      <c r="K177" s="49"/>
      <c r="L177" s="56"/>
      <c r="M177" s="61">
        <v>4</v>
      </c>
      <c r="N177" s="62">
        <v>8.0000000000000053</v>
      </c>
      <c r="O177" s="62">
        <v>1</v>
      </c>
      <c r="P177" s="62">
        <v>4</v>
      </c>
      <c r="Q177" s="62">
        <v>1</v>
      </c>
      <c r="R177" s="62">
        <v>7.0000000000000044</v>
      </c>
      <c r="S177" s="62">
        <v>0</v>
      </c>
      <c r="T177" s="63">
        <v>8.0000000000000053</v>
      </c>
      <c r="U177" s="66" t="e">
        <f t="shared" ca="1" si="85"/>
        <v>#DIV/0!</v>
      </c>
      <c r="V177" s="66">
        <f t="shared" ca="1" si="86"/>
        <v>0.3</v>
      </c>
      <c r="W177" s="70">
        <f t="shared" si="87"/>
        <v>0.63157894736842102</v>
      </c>
      <c r="X177" s="70">
        <f t="shared" si="88"/>
        <v>0.84210526315789525</v>
      </c>
      <c r="Y177" s="70">
        <f t="shared" si="89"/>
        <v>0.14035087719298245</v>
      </c>
      <c r="Z177" s="70">
        <f t="shared" si="90"/>
        <v>0.70175438596491224</v>
      </c>
      <c r="AA177" s="70">
        <f t="shared" si="91"/>
        <v>8.771929824561403E-2</v>
      </c>
      <c r="AB177" s="70">
        <f t="shared" si="92"/>
        <v>0.859649122807018</v>
      </c>
      <c r="AC177" s="70">
        <f t="shared" si="93"/>
        <v>0</v>
      </c>
      <c r="AD177" s="71">
        <f t="shared" si="94"/>
        <v>0.84210526315789525</v>
      </c>
      <c r="AE177" s="72">
        <f t="shared" si="95"/>
        <v>0.6</v>
      </c>
      <c r="AF177" s="72">
        <f t="shared" ca="1" si="96"/>
        <v>0.7</v>
      </c>
      <c r="AG177" s="73">
        <f t="shared" ca="1" si="97"/>
        <v>0.6333333333333333</v>
      </c>
      <c r="AH177" s="456">
        <f t="shared" si="98"/>
        <v>4.1052631578947381</v>
      </c>
      <c r="AI177" s="467">
        <f t="shared" ca="1" si="99"/>
        <v>26.000000000000007</v>
      </c>
      <c r="AJ177" s="458" t="str">
        <f t="shared" ca="1" si="100"/>
        <v>Q4</v>
      </c>
      <c r="AK177" s="93" t="s">
        <v>360</v>
      </c>
      <c r="AL177" s="110"/>
      <c r="AM177" s="117"/>
      <c r="AN177" s="113"/>
      <c r="AO177" s="113"/>
      <c r="AP177" s="113"/>
      <c r="AQ177" s="121"/>
      <c r="AR177" s="436"/>
      <c r="AS177" s="437"/>
      <c r="AT177" s="437"/>
      <c r="AU177" s="437"/>
      <c r="AV177" s="437"/>
      <c r="AW177" s="94"/>
    </row>
    <row r="178" spans="1:49" ht="36" customHeight="1">
      <c r="A178" s="5">
        <v>289</v>
      </c>
      <c r="B178" s="625">
        <v>285</v>
      </c>
      <c r="C178" s="6" t="s">
        <v>20</v>
      </c>
      <c r="D178" s="371" t="s">
        <v>7</v>
      </c>
      <c r="E178" s="18" t="s">
        <v>266</v>
      </c>
      <c r="F178" s="20" t="s">
        <v>267</v>
      </c>
      <c r="G178" s="20" t="s">
        <v>268</v>
      </c>
      <c r="H178" s="603">
        <v>85000</v>
      </c>
      <c r="I178" s="50">
        <v>2</v>
      </c>
      <c r="J178" s="55">
        <v>0.4</v>
      </c>
      <c r="K178" s="49"/>
      <c r="L178" s="56"/>
      <c r="M178" s="61">
        <v>1</v>
      </c>
      <c r="N178" s="62">
        <v>4.0000000000000027</v>
      </c>
      <c r="O178" s="62">
        <v>1</v>
      </c>
      <c r="P178" s="62">
        <v>8.0000000000000053</v>
      </c>
      <c r="Q178" s="62">
        <v>1</v>
      </c>
      <c r="R178" s="62">
        <v>4.0000000000000027</v>
      </c>
      <c r="S178" s="62">
        <v>0</v>
      </c>
      <c r="T178" s="63">
        <v>8.0000000000000053</v>
      </c>
      <c r="U178" s="66" t="e">
        <f t="shared" ca="1" si="85"/>
        <v>#DIV/0!</v>
      </c>
      <c r="V178" s="66">
        <f t="shared" ca="1" si="86"/>
        <v>0.4</v>
      </c>
      <c r="W178" s="70">
        <f t="shared" si="87"/>
        <v>0.15789473684210525</v>
      </c>
      <c r="X178" s="70">
        <f t="shared" si="88"/>
        <v>0.42105263157894762</v>
      </c>
      <c r="Y178" s="70">
        <f t="shared" si="89"/>
        <v>0.14035087719298245</v>
      </c>
      <c r="Z178" s="70">
        <f t="shared" si="90"/>
        <v>1.4035087719298256</v>
      </c>
      <c r="AA178" s="70">
        <f t="shared" si="91"/>
        <v>8.771929824561403E-2</v>
      </c>
      <c r="AB178" s="70">
        <f t="shared" si="92"/>
        <v>0.4912280701754389</v>
      </c>
      <c r="AC178" s="70">
        <f t="shared" si="93"/>
        <v>0</v>
      </c>
      <c r="AD178" s="71">
        <f t="shared" si="94"/>
        <v>0.84210526315789525</v>
      </c>
      <c r="AE178" s="72">
        <f t="shared" si="95"/>
        <v>0.8</v>
      </c>
      <c r="AF178" s="72">
        <f t="shared" ca="1" si="96"/>
        <v>0.6</v>
      </c>
      <c r="AG178" s="73">
        <f t="shared" ca="1" si="97"/>
        <v>0.73333333333333339</v>
      </c>
      <c r="AH178" s="456">
        <f t="shared" si="98"/>
        <v>3.5438596491228087</v>
      </c>
      <c r="AI178" s="467">
        <f t="shared" ca="1" si="99"/>
        <v>25.988304093567265</v>
      </c>
      <c r="AJ178" s="458" t="str">
        <f t="shared" ca="1" si="100"/>
        <v>Q4</v>
      </c>
      <c r="AK178" s="95" t="s">
        <v>360</v>
      </c>
      <c r="AL178" s="111"/>
      <c r="AM178" s="117"/>
      <c r="AN178" s="113"/>
      <c r="AO178" s="113"/>
      <c r="AP178" s="113"/>
      <c r="AQ178" s="121"/>
      <c r="AR178" s="436"/>
      <c r="AS178" s="437"/>
      <c r="AT178" s="437"/>
      <c r="AU178" s="437"/>
      <c r="AV178" s="437"/>
      <c r="AW178" s="94"/>
    </row>
    <row r="179" spans="1:49" s="228" customFormat="1" ht="36" customHeight="1">
      <c r="A179" s="5">
        <v>32</v>
      </c>
      <c r="B179" s="625">
        <v>286</v>
      </c>
      <c r="C179" s="6" t="s">
        <v>6</v>
      </c>
      <c r="D179" s="371" t="s">
        <v>7</v>
      </c>
      <c r="E179" s="7" t="s">
        <v>340</v>
      </c>
      <c r="F179" s="9" t="s">
        <v>1350</v>
      </c>
      <c r="G179" s="8"/>
      <c r="H179" s="600">
        <v>125000</v>
      </c>
      <c r="I179" s="49">
        <v>5</v>
      </c>
      <c r="J179" s="55">
        <v>0.5</v>
      </c>
      <c r="K179" s="49"/>
      <c r="L179" s="56"/>
      <c r="M179" s="61">
        <v>6.0000000000000036</v>
      </c>
      <c r="N179" s="62">
        <v>6.0000000000000036</v>
      </c>
      <c r="O179" s="62">
        <v>4.0000000000000027</v>
      </c>
      <c r="P179" s="62">
        <v>6.0000000000000036</v>
      </c>
      <c r="Q179" s="62">
        <v>6.0000000000000036</v>
      </c>
      <c r="R179" s="62">
        <v>6.0000000000000036</v>
      </c>
      <c r="S179" s="62">
        <v>1</v>
      </c>
      <c r="T179" s="63">
        <v>6.0000000000000036</v>
      </c>
      <c r="U179" s="66" t="e">
        <f t="shared" ca="1" si="85"/>
        <v>#DIV/0!</v>
      </c>
      <c r="V179" s="66">
        <f t="shared" ca="1" si="86"/>
        <v>0.5</v>
      </c>
      <c r="W179" s="70">
        <f t="shared" si="87"/>
        <v>0.94736842105263208</v>
      </c>
      <c r="X179" s="70">
        <f t="shared" si="88"/>
        <v>0.63157894736842146</v>
      </c>
      <c r="Y179" s="70">
        <f t="shared" si="89"/>
        <v>0.56140350877193024</v>
      </c>
      <c r="Z179" s="70">
        <f t="shared" si="90"/>
        <v>1.052631578947369</v>
      </c>
      <c r="AA179" s="70">
        <f t="shared" si="91"/>
        <v>0.52631578947368451</v>
      </c>
      <c r="AB179" s="70">
        <f t="shared" si="92"/>
        <v>0.73684210526315841</v>
      </c>
      <c r="AC179" s="70">
        <f t="shared" si="93"/>
        <v>0.10526315789473684</v>
      </c>
      <c r="AD179" s="71">
        <f t="shared" si="94"/>
        <v>0.63157894736842146</v>
      </c>
      <c r="AE179" s="72">
        <f t="shared" si="95"/>
        <v>0.5</v>
      </c>
      <c r="AF179" s="72">
        <f t="shared" ca="1" si="96"/>
        <v>0.5</v>
      </c>
      <c r="AG179" s="73">
        <f t="shared" ca="1" si="97"/>
        <v>0.5</v>
      </c>
      <c r="AH179" s="456">
        <f t="shared" si="98"/>
        <v>5.1929824561403537</v>
      </c>
      <c r="AI179" s="467">
        <f t="shared" ca="1" si="99"/>
        <v>25.964912280701768</v>
      </c>
      <c r="AJ179" s="458" t="str">
        <f t="shared" ca="1" si="100"/>
        <v>Q4</v>
      </c>
      <c r="AK179" s="93" t="s">
        <v>360</v>
      </c>
      <c r="AL179" s="110"/>
      <c r="AM179" s="117"/>
      <c r="AN179" s="113"/>
      <c r="AO179" s="113"/>
      <c r="AP179" s="113"/>
      <c r="AQ179" s="121"/>
      <c r="AR179" s="436"/>
      <c r="AS179" s="437"/>
      <c r="AT179" s="437"/>
      <c r="AU179" s="437"/>
      <c r="AV179" s="437"/>
      <c r="AW179" s="94"/>
    </row>
    <row r="180" spans="1:49" ht="36" customHeight="1">
      <c r="A180" s="1">
        <v>126</v>
      </c>
      <c r="B180" s="625">
        <v>288</v>
      </c>
      <c r="C180" s="2" t="s">
        <v>6</v>
      </c>
      <c r="D180" s="370" t="s">
        <v>7</v>
      </c>
      <c r="E180" s="3" t="s">
        <v>339</v>
      </c>
      <c r="F180" s="592" t="s">
        <v>1225</v>
      </c>
      <c r="G180" s="4"/>
      <c r="H180" s="599">
        <v>300000</v>
      </c>
      <c r="I180" s="376">
        <v>5</v>
      </c>
      <c r="J180" s="377">
        <v>0.4</v>
      </c>
      <c r="K180" s="376"/>
      <c r="L180" s="378"/>
      <c r="M180" s="61">
        <v>6.0000000000000036</v>
      </c>
      <c r="N180" s="62">
        <v>6.0000000000000036</v>
      </c>
      <c r="O180" s="62">
        <v>4.0000000000000027</v>
      </c>
      <c r="P180" s="62">
        <v>4.0000000000000027</v>
      </c>
      <c r="Q180" s="62">
        <v>1</v>
      </c>
      <c r="R180" s="62">
        <v>6.0000000000000036</v>
      </c>
      <c r="S180" s="62">
        <v>5</v>
      </c>
      <c r="T180" s="63">
        <v>6.0000000000000036</v>
      </c>
      <c r="U180" s="379" t="e">
        <f t="shared" ca="1" si="85"/>
        <v>#DIV/0!</v>
      </c>
      <c r="V180" s="379">
        <f t="shared" ca="1" si="86"/>
        <v>0.4</v>
      </c>
      <c r="W180" s="70">
        <f t="shared" si="87"/>
        <v>0.94736842105263208</v>
      </c>
      <c r="X180" s="70">
        <f t="shared" si="88"/>
        <v>0.63157894736842146</v>
      </c>
      <c r="Y180" s="70">
        <f t="shared" si="89"/>
        <v>0.56140350877193024</v>
      </c>
      <c r="Z180" s="70">
        <f t="shared" si="90"/>
        <v>0.7017543859649128</v>
      </c>
      <c r="AA180" s="70">
        <f t="shared" si="91"/>
        <v>8.771929824561403E-2</v>
      </c>
      <c r="AB180" s="70">
        <f t="shared" si="92"/>
        <v>0.73684210526315841</v>
      </c>
      <c r="AC180" s="70">
        <f t="shared" si="93"/>
        <v>0.52631578947368418</v>
      </c>
      <c r="AD180" s="71">
        <f t="shared" si="94"/>
        <v>0.63157894736842146</v>
      </c>
      <c r="AE180" s="72">
        <f t="shared" si="95"/>
        <v>0.5</v>
      </c>
      <c r="AF180" s="72">
        <f t="shared" ca="1" si="96"/>
        <v>0.6</v>
      </c>
      <c r="AG180" s="73">
        <f t="shared" ca="1" si="97"/>
        <v>0.53333333333333333</v>
      </c>
      <c r="AH180" s="455">
        <f t="shared" si="98"/>
        <v>4.824561403508774</v>
      </c>
      <c r="AI180" s="466">
        <f t="shared" ca="1" si="99"/>
        <v>25.730994152046797</v>
      </c>
      <c r="AJ180" s="458" t="str">
        <f t="shared" ca="1" si="100"/>
        <v>Q4</v>
      </c>
      <c r="AK180" s="91" t="s">
        <v>360</v>
      </c>
      <c r="AL180" s="570"/>
      <c r="AM180" s="117"/>
      <c r="AN180" s="113"/>
      <c r="AO180" s="113"/>
      <c r="AP180" s="113"/>
      <c r="AQ180" s="121"/>
      <c r="AR180" s="436"/>
      <c r="AS180" s="437"/>
      <c r="AT180" s="437"/>
      <c r="AU180" s="437"/>
      <c r="AV180" s="437"/>
      <c r="AW180" s="92"/>
    </row>
    <row r="181" spans="1:49" ht="36" customHeight="1">
      <c r="A181" s="5">
        <v>208</v>
      </c>
      <c r="B181" s="625">
        <v>289</v>
      </c>
      <c r="C181" s="669" t="s">
        <v>26</v>
      </c>
      <c r="D181" s="665"/>
      <c r="E181" s="10" t="s">
        <v>1520</v>
      </c>
      <c r="F181" s="11" t="s">
        <v>1523</v>
      </c>
      <c r="G181" s="666"/>
      <c r="H181" s="608">
        <v>250000</v>
      </c>
      <c r="I181" s="50">
        <v>5</v>
      </c>
      <c r="J181" s="55">
        <v>0.5</v>
      </c>
      <c r="K181" s="49"/>
      <c r="L181" s="56" t="s">
        <v>514</v>
      </c>
      <c r="M181" s="61">
        <v>8</v>
      </c>
      <c r="N181" s="62">
        <v>5</v>
      </c>
      <c r="O181" s="62">
        <v>6</v>
      </c>
      <c r="P181" s="62">
        <v>5</v>
      </c>
      <c r="Q181" s="62">
        <v>1</v>
      </c>
      <c r="R181" s="62">
        <v>9</v>
      </c>
      <c r="S181" s="62">
        <v>0</v>
      </c>
      <c r="T181" s="63">
        <v>9</v>
      </c>
      <c r="U181" s="66" t="e">
        <f t="shared" ca="1" si="85"/>
        <v>#VALUE!</v>
      </c>
      <c r="V181" s="66">
        <f t="shared" ca="1" si="86"/>
        <v>0.5</v>
      </c>
      <c r="W181" s="70">
        <f t="shared" si="87"/>
        <v>1.263157894736842</v>
      </c>
      <c r="X181" s="70">
        <f t="shared" si="88"/>
        <v>0.52631578947368418</v>
      </c>
      <c r="Y181" s="70">
        <f t="shared" si="89"/>
        <v>0.84210526315789469</v>
      </c>
      <c r="Z181" s="70">
        <f t="shared" si="90"/>
        <v>0.8771929824561403</v>
      </c>
      <c r="AA181" s="70">
        <f t="shared" si="91"/>
        <v>8.771929824561403E-2</v>
      </c>
      <c r="AB181" s="70">
        <f t="shared" si="92"/>
        <v>1.1052631578947369</v>
      </c>
      <c r="AC181" s="70">
        <f t="shared" si="93"/>
        <v>0</v>
      </c>
      <c r="AD181" s="71">
        <f t="shared" si="94"/>
        <v>0.94736842105263153</v>
      </c>
      <c r="AE181" s="72">
        <f t="shared" si="95"/>
        <v>0.5</v>
      </c>
      <c r="AF181" s="72">
        <f t="shared" ca="1" si="96"/>
        <v>0.5</v>
      </c>
      <c r="AG181" s="73">
        <f t="shared" ca="1" si="97"/>
        <v>0.5</v>
      </c>
      <c r="AH181" s="456">
        <f t="shared" si="98"/>
        <v>5.6491228070175437</v>
      </c>
      <c r="AI181" s="467">
        <f t="shared" ca="1" si="99"/>
        <v>28.245614035087719</v>
      </c>
      <c r="AJ181" s="458" t="str">
        <f t="shared" ca="1" si="100"/>
        <v>Q4</v>
      </c>
      <c r="AK181" s="95" t="s">
        <v>360</v>
      </c>
      <c r="AL181" s="571"/>
      <c r="AM181" s="117"/>
      <c r="AN181" s="113"/>
      <c r="AO181" s="113"/>
      <c r="AP181" s="113"/>
      <c r="AQ181" s="121"/>
      <c r="AR181" s="436"/>
      <c r="AS181" s="437"/>
      <c r="AT181" s="437"/>
      <c r="AU181" s="437"/>
      <c r="AV181" s="437"/>
      <c r="AW181" s="94"/>
    </row>
    <row r="182" spans="1:49" ht="36" customHeight="1">
      <c r="A182" s="5">
        <v>376</v>
      </c>
      <c r="B182" s="625">
        <v>291</v>
      </c>
      <c r="C182" s="6" t="s">
        <v>6</v>
      </c>
      <c r="D182" s="371" t="s">
        <v>7</v>
      </c>
      <c r="E182" s="7" t="s">
        <v>421</v>
      </c>
      <c r="F182" s="9" t="s">
        <v>1226</v>
      </c>
      <c r="G182" s="8"/>
      <c r="H182" s="600">
        <v>425000</v>
      </c>
      <c r="I182" s="49">
        <v>5</v>
      </c>
      <c r="J182" s="55">
        <v>0.4</v>
      </c>
      <c r="K182" s="49"/>
      <c r="L182" s="56"/>
      <c r="M182" s="61">
        <v>4.0000000000000027</v>
      </c>
      <c r="N182" s="62">
        <v>6.0000000000000036</v>
      </c>
      <c r="O182" s="62">
        <v>6.0000000000000036</v>
      </c>
      <c r="P182" s="62">
        <v>4.0000000000000027</v>
      </c>
      <c r="Q182" s="62">
        <v>4.0000000000000027</v>
      </c>
      <c r="R182" s="62">
        <v>4.0000000000000027</v>
      </c>
      <c r="S182" s="62">
        <v>5</v>
      </c>
      <c r="T182" s="63">
        <v>6.0000000000000036</v>
      </c>
      <c r="U182" s="66" t="e">
        <f t="shared" ca="1" si="85"/>
        <v>#DIV/0!</v>
      </c>
      <c r="V182" s="66">
        <f t="shared" ca="1" si="86"/>
        <v>0.4</v>
      </c>
      <c r="W182" s="70">
        <f t="shared" si="87"/>
        <v>0.63157894736842146</v>
      </c>
      <c r="X182" s="70">
        <f t="shared" si="88"/>
        <v>0.63157894736842146</v>
      </c>
      <c r="Y182" s="70">
        <f t="shared" si="89"/>
        <v>0.84210526315789525</v>
      </c>
      <c r="Z182" s="70">
        <f t="shared" si="90"/>
        <v>0.7017543859649128</v>
      </c>
      <c r="AA182" s="70">
        <f t="shared" si="91"/>
        <v>0.3508771929824564</v>
      </c>
      <c r="AB182" s="70">
        <f t="shared" si="92"/>
        <v>0.4912280701754389</v>
      </c>
      <c r="AC182" s="70">
        <f t="shared" si="93"/>
        <v>0.52631578947368418</v>
      </c>
      <c r="AD182" s="71">
        <f t="shared" si="94"/>
        <v>0.63157894736842146</v>
      </c>
      <c r="AE182" s="72">
        <f t="shared" si="95"/>
        <v>0.5</v>
      </c>
      <c r="AF182" s="72">
        <f t="shared" ca="1" si="96"/>
        <v>0.6</v>
      </c>
      <c r="AG182" s="73">
        <f t="shared" ca="1" si="97"/>
        <v>0.53333333333333333</v>
      </c>
      <c r="AH182" s="456">
        <f t="shared" si="98"/>
        <v>4.8070175438596516</v>
      </c>
      <c r="AI182" s="467">
        <f t="shared" ca="1" si="99"/>
        <v>25.63742690058481</v>
      </c>
      <c r="AJ182" s="458" t="str">
        <f t="shared" ca="1" si="100"/>
        <v>Q4</v>
      </c>
      <c r="AK182" s="93" t="s">
        <v>360</v>
      </c>
      <c r="AL182" s="571"/>
      <c r="AM182" s="117"/>
      <c r="AN182" s="113"/>
      <c r="AO182" s="113"/>
      <c r="AP182" s="113"/>
      <c r="AQ182" s="121"/>
      <c r="AR182" s="436"/>
      <c r="AS182" s="437"/>
      <c r="AT182" s="437"/>
      <c r="AU182" s="437"/>
      <c r="AV182" s="437"/>
      <c r="AW182" s="94"/>
    </row>
    <row r="183" spans="1:49" ht="36" customHeight="1">
      <c r="A183" s="5"/>
      <c r="B183" s="625">
        <v>293</v>
      </c>
      <c r="C183" s="6" t="s">
        <v>6</v>
      </c>
      <c r="D183" s="371" t="s">
        <v>7</v>
      </c>
      <c r="E183" s="7" t="s">
        <v>305</v>
      </c>
      <c r="F183" s="9" t="s">
        <v>306</v>
      </c>
      <c r="G183" s="8"/>
      <c r="H183" s="600">
        <v>500000</v>
      </c>
      <c r="I183" s="50">
        <v>5</v>
      </c>
      <c r="J183" s="55">
        <v>0.5</v>
      </c>
      <c r="K183" s="49"/>
      <c r="L183" s="56"/>
      <c r="M183" s="61">
        <v>4</v>
      </c>
      <c r="N183" s="62">
        <v>6</v>
      </c>
      <c r="O183" s="62">
        <v>6.0000000000000036</v>
      </c>
      <c r="P183" s="62">
        <v>4</v>
      </c>
      <c r="Q183" s="62">
        <v>4.0000000000000027</v>
      </c>
      <c r="R183" s="62">
        <v>6.0000000000000036</v>
      </c>
      <c r="S183" s="62">
        <v>5</v>
      </c>
      <c r="T183" s="63">
        <v>6.0000000000000036</v>
      </c>
      <c r="U183" s="66" t="e">
        <f t="shared" ca="1" si="85"/>
        <v>#DIV/0!</v>
      </c>
      <c r="V183" s="66">
        <f t="shared" ca="1" si="86"/>
        <v>0.5</v>
      </c>
      <c r="W183" s="70">
        <f t="shared" si="87"/>
        <v>0.63157894736842102</v>
      </c>
      <c r="X183" s="70">
        <f t="shared" si="88"/>
        <v>0.63157894736842102</v>
      </c>
      <c r="Y183" s="70">
        <f t="shared" si="89"/>
        <v>0.84210526315789525</v>
      </c>
      <c r="Z183" s="70">
        <f t="shared" si="90"/>
        <v>0.70175438596491224</v>
      </c>
      <c r="AA183" s="70">
        <f t="shared" si="91"/>
        <v>0.3508771929824564</v>
      </c>
      <c r="AB183" s="70">
        <f t="shared" si="92"/>
        <v>0.73684210526315841</v>
      </c>
      <c r="AC183" s="70">
        <f t="shared" si="93"/>
        <v>0.52631578947368418</v>
      </c>
      <c r="AD183" s="71">
        <f t="shared" si="94"/>
        <v>0.63157894736842146</v>
      </c>
      <c r="AE183" s="72">
        <f t="shared" si="95"/>
        <v>0.5</v>
      </c>
      <c r="AF183" s="72">
        <f t="shared" ca="1" si="96"/>
        <v>0.5</v>
      </c>
      <c r="AG183" s="73">
        <f t="shared" ca="1" si="97"/>
        <v>0.5</v>
      </c>
      <c r="AH183" s="456">
        <f t="shared" si="98"/>
        <v>5.0526315789473699</v>
      </c>
      <c r="AI183" s="467">
        <f t="shared" ca="1" si="99"/>
        <v>25.26315789473685</v>
      </c>
      <c r="AJ183" s="458" t="str">
        <f t="shared" ca="1" si="100"/>
        <v>Q4</v>
      </c>
      <c r="AK183" s="95" t="s">
        <v>360</v>
      </c>
      <c r="AL183" s="572"/>
      <c r="AM183" s="117"/>
      <c r="AN183" s="113"/>
      <c r="AO183" s="113"/>
      <c r="AP183" s="113"/>
      <c r="AQ183" s="121"/>
      <c r="AR183" s="436"/>
      <c r="AS183" s="437"/>
      <c r="AT183" s="437"/>
      <c r="AU183" s="437"/>
      <c r="AV183" s="437"/>
      <c r="AW183" s="94"/>
    </row>
    <row r="184" spans="1:49" s="228" customFormat="1" ht="36" customHeight="1">
      <c r="A184" s="5">
        <v>198</v>
      </c>
      <c r="B184" s="625">
        <v>294</v>
      </c>
      <c r="C184" s="6" t="s">
        <v>6</v>
      </c>
      <c r="D184" s="371" t="s">
        <v>7</v>
      </c>
      <c r="E184" s="7" t="s">
        <v>350</v>
      </c>
      <c r="F184" s="9" t="s">
        <v>1227</v>
      </c>
      <c r="G184" s="8"/>
      <c r="H184" s="600">
        <v>600000</v>
      </c>
      <c r="I184" s="50">
        <v>6</v>
      </c>
      <c r="J184" s="55">
        <v>0.4</v>
      </c>
      <c r="K184" s="49"/>
      <c r="L184" s="56"/>
      <c r="M184" s="61">
        <v>6.0000000000000036</v>
      </c>
      <c r="N184" s="62">
        <v>8</v>
      </c>
      <c r="O184" s="62">
        <v>4.0000000000000027</v>
      </c>
      <c r="P184" s="62">
        <v>6.0000000000000036</v>
      </c>
      <c r="Q184" s="62">
        <v>1</v>
      </c>
      <c r="R184" s="62">
        <v>8</v>
      </c>
      <c r="S184" s="62">
        <v>0</v>
      </c>
      <c r="T184" s="63">
        <v>8</v>
      </c>
      <c r="U184" s="66" t="e">
        <f t="shared" ca="1" si="85"/>
        <v>#DIV/0!</v>
      </c>
      <c r="V184" s="66">
        <f t="shared" ca="1" si="86"/>
        <v>0.4</v>
      </c>
      <c r="W184" s="70">
        <f t="shared" si="87"/>
        <v>0.94736842105263208</v>
      </c>
      <c r="X184" s="70">
        <f t="shared" si="88"/>
        <v>0.84210526315789469</v>
      </c>
      <c r="Y184" s="70">
        <f t="shared" si="89"/>
        <v>0.56140350877193024</v>
      </c>
      <c r="Z184" s="70">
        <f t="shared" si="90"/>
        <v>1.052631578947369</v>
      </c>
      <c r="AA184" s="70">
        <f t="shared" si="91"/>
        <v>8.771929824561403E-2</v>
      </c>
      <c r="AB184" s="70">
        <f t="shared" si="92"/>
        <v>0.98245614035087714</v>
      </c>
      <c r="AC184" s="70">
        <f t="shared" si="93"/>
        <v>0</v>
      </c>
      <c r="AD184" s="71">
        <f t="shared" si="94"/>
        <v>0.84210526315789469</v>
      </c>
      <c r="AE184" s="72">
        <f t="shared" si="95"/>
        <v>0.39999999999999991</v>
      </c>
      <c r="AF184" s="72">
        <f t="shared" ca="1" si="96"/>
        <v>0.6</v>
      </c>
      <c r="AG184" s="73">
        <f t="shared" ca="1" si="97"/>
        <v>0.46666666666666662</v>
      </c>
      <c r="AH184" s="456">
        <f t="shared" si="98"/>
        <v>5.3157894736842115</v>
      </c>
      <c r="AI184" s="467">
        <f t="shared" ca="1" si="99"/>
        <v>24.807017543859651</v>
      </c>
      <c r="AJ184" s="458" t="str">
        <f t="shared" ca="1" si="100"/>
        <v>Q4</v>
      </c>
      <c r="AK184" s="95" t="s">
        <v>360</v>
      </c>
      <c r="AL184" s="572"/>
      <c r="AM184" s="117"/>
      <c r="AN184" s="113"/>
      <c r="AO184" s="113"/>
      <c r="AP184" s="113"/>
      <c r="AQ184" s="121"/>
      <c r="AR184" s="436"/>
      <c r="AS184" s="437"/>
      <c r="AT184" s="437"/>
      <c r="AU184" s="437"/>
      <c r="AV184" s="437"/>
      <c r="AW184" s="94"/>
    </row>
    <row r="185" spans="1:49" ht="36" customHeight="1">
      <c r="A185" s="1">
        <v>209</v>
      </c>
      <c r="B185" s="625">
        <v>295</v>
      </c>
      <c r="C185" s="2" t="s">
        <v>6</v>
      </c>
      <c r="D185" s="370" t="s">
        <v>7</v>
      </c>
      <c r="E185" s="3" t="s">
        <v>352</v>
      </c>
      <c r="F185" s="592" t="s">
        <v>1351</v>
      </c>
      <c r="G185" s="4"/>
      <c r="H185" s="599">
        <v>150000</v>
      </c>
      <c r="I185" s="380">
        <v>6</v>
      </c>
      <c r="J185" s="377">
        <v>0.4</v>
      </c>
      <c r="K185" s="376"/>
      <c r="L185" s="378"/>
      <c r="M185" s="61">
        <v>6.0000000000000036</v>
      </c>
      <c r="N185" s="62">
        <v>8</v>
      </c>
      <c r="O185" s="62">
        <v>4.0000000000000027</v>
      </c>
      <c r="P185" s="62">
        <v>6.0000000000000036</v>
      </c>
      <c r="Q185" s="62">
        <v>1</v>
      </c>
      <c r="R185" s="62">
        <v>8</v>
      </c>
      <c r="S185" s="62">
        <v>0</v>
      </c>
      <c r="T185" s="63">
        <v>8</v>
      </c>
      <c r="U185" s="379" t="e">
        <f t="shared" ca="1" si="85"/>
        <v>#DIV/0!</v>
      </c>
      <c r="V185" s="379">
        <f t="shared" ca="1" si="86"/>
        <v>0.4</v>
      </c>
      <c r="W185" s="70">
        <f t="shared" si="87"/>
        <v>0.94736842105263208</v>
      </c>
      <c r="X185" s="70">
        <f t="shared" si="88"/>
        <v>0.84210526315789469</v>
      </c>
      <c r="Y185" s="70">
        <f t="shared" si="89"/>
        <v>0.56140350877193024</v>
      </c>
      <c r="Z185" s="70">
        <f t="shared" si="90"/>
        <v>1.052631578947369</v>
      </c>
      <c r="AA185" s="70">
        <f t="shared" si="91"/>
        <v>8.771929824561403E-2</v>
      </c>
      <c r="AB185" s="70">
        <f t="shared" si="92"/>
        <v>0.98245614035087714</v>
      </c>
      <c r="AC185" s="70">
        <f t="shared" si="93"/>
        <v>0</v>
      </c>
      <c r="AD185" s="71">
        <f t="shared" si="94"/>
        <v>0.84210526315789469</v>
      </c>
      <c r="AE185" s="72">
        <f t="shared" si="95"/>
        <v>0.39999999999999991</v>
      </c>
      <c r="AF185" s="72">
        <f t="shared" ca="1" si="96"/>
        <v>0.6</v>
      </c>
      <c r="AG185" s="73">
        <f t="shared" ca="1" si="97"/>
        <v>0.46666666666666662</v>
      </c>
      <c r="AH185" s="455">
        <f t="shared" si="98"/>
        <v>5.3157894736842115</v>
      </c>
      <c r="AI185" s="466">
        <f t="shared" ca="1" si="99"/>
        <v>24.807017543859651</v>
      </c>
      <c r="AJ185" s="458" t="str">
        <f t="shared" ca="1" si="100"/>
        <v>Q4</v>
      </c>
      <c r="AK185" s="373" t="s">
        <v>360</v>
      </c>
      <c r="AL185" s="572"/>
      <c r="AM185" s="117"/>
      <c r="AN185" s="113"/>
      <c r="AO185" s="113"/>
      <c r="AP185" s="113"/>
      <c r="AQ185" s="121"/>
      <c r="AR185" s="436"/>
      <c r="AS185" s="437"/>
      <c r="AT185" s="437"/>
      <c r="AU185" s="437"/>
      <c r="AV185" s="437"/>
      <c r="AW185" s="92"/>
    </row>
    <row r="186" spans="1:49" ht="36" customHeight="1">
      <c r="A186" s="5">
        <v>277</v>
      </c>
      <c r="B186" s="625">
        <v>297</v>
      </c>
      <c r="C186" s="6" t="s">
        <v>12</v>
      </c>
      <c r="D186" s="371" t="s">
        <v>418</v>
      </c>
      <c r="E186" s="12" t="s">
        <v>347</v>
      </c>
      <c r="F186" s="13" t="s">
        <v>348</v>
      </c>
      <c r="G186" s="127"/>
      <c r="H186" s="603">
        <v>400000</v>
      </c>
      <c r="I186" s="50">
        <v>6</v>
      </c>
      <c r="J186" s="55">
        <v>0.6</v>
      </c>
      <c r="K186" s="49"/>
      <c r="L186" s="56"/>
      <c r="M186" s="61">
        <v>8</v>
      </c>
      <c r="N186" s="62">
        <v>6.0000000000000036</v>
      </c>
      <c r="O186" s="62">
        <v>4.0000000000000027</v>
      </c>
      <c r="P186" s="62">
        <v>9.9999999999999982</v>
      </c>
      <c r="Q186" s="62">
        <v>2</v>
      </c>
      <c r="R186" s="62">
        <v>6</v>
      </c>
      <c r="S186" s="62">
        <v>0</v>
      </c>
      <c r="T186" s="63">
        <v>9.9999999999999982</v>
      </c>
      <c r="U186" s="66" t="e">
        <f t="shared" ca="1" si="85"/>
        <v>#DIV/0!</v>
      </c>
      <c r="V186" s="66">
        <f t="shared" ca="1" si="86"/>
        <v>0.6</v>
      </c>
      <c r="W186" s="70">
        <f t="shared" si="87"/>
        <v>1.263157894736842</v>
      </c>
      <c r="X186" s="70">
        <f t="shared" si="88"/>
        <v>0.63157894736842146</v>
      </c>
      <c r="Y186" s="70">
        <f t="shared" si="89"/>
        <v>0.56140350877193024</v>
      </c>
      <c r="Z186" s="70">
        <f t="shared" si="90"/>
        <v>1.7543859649122804</v>
      </c>
      <c r="AA186" s="70">
        <f t="shared" si="91"/>
        <v>0.17543859649122806</v>
      </c>
      <c r="AB186" s="70">
        <f t="shared" si="92"/>
        <v>0.73684210526315785</v>
      </c>
      <c r="AC186" s="70">
        <f t="shared" si="93"/>
        <v>0</v>
      </c>
      <c r="AD186" s="71">
        <f t="shared" si="94"/>
        <v>1.0526315789473681</v>
      </c>
      <c r="AE186" s="72">
        <f t="shared" si="95"/>
        <v>0.39999999999999991</v>
      </c>
      <c r="AF186" s="72">
        <f t="shared" ca="1" si="96"/>
        <v>0.4</v>
      </c>
      <c r="AG186" s="73">
        <f t="shared" ca="1" si="97"/>
        <v>0.39999999999999991</v>
      </c>
      <c r="AH186" s="456">
        <f t="shared" si="98"/>
        <v>6.1754385964912277</v>
      </c>
      <c r="AI186" s="467">
        <f t="shared" ca="1" si="99"/>
        <v>24.701754385964904</v>
      </c>
      <c r="AJ186" s="458" t="str">
        <f t="shared" ca="1" si="100"/>
        <v>Q3</v>
      </c>
      <c r="AK186" s="95" t="s">
        <v>360</v>
      </c>
      <c r="AL186" s="572"/>
      <c r="AM186" s="117"/>
      <c r="AN186" s="113"/>
      <c r="AO186" s="113"/>
      <c r="AP186" s="113"/>
      <c r="AQ186" s="121"/>
      <c r="AR186" s="436"/>
      <c r="AS186" s="437"/>
      <c r="AT186" s="437"/>
      <c r="AU186" s="437"/>
      <c r="AV186" s="437"/>
      <c r="AW186" s="94"/>
    </row>
    <row r="187" spans="1:49" ht="36" customHeight="1">
      <c r="A187" s="5"/>
      <c r="B187" s="625">
        <v>300</v>
      </c>
      <c r="C187" s="14" t="s">
        <v>6</v>
      </c>
      <c r="D187" s="442" t="s">
        <v>417</v>
      </c>
      <c r="E187" s="7" t="s">
        <v>1412</v>
      </c>
      <c r="F187" s="8" t="s">
        <v>1465</v>
      </c>
      <c r="G187" s="8"/>
      <c r="H187" s="600">
        <v>400000</v>
      </c>
      <c r="I187" s="50">
        <v>5</v>
      </c>
      <c r="J187" s="55">
        <v>0.5</v>
      </c>
      <c r="K187" s="49"/>
      <c r="L187" s="56"/>
      <c r="M187" s="61">
        <v>4.0000000000000027</v>
      </c>
      <c r="N187" s="62">
        <v>8.0000000000000053</v>
      </c>
      <c r="O187" s="62">
        <v>1</v>
      </c>
      <c r="P187" s="62">
        <v>8.0000000000000053</v>
      </c>
      <c r="Q187" s="62">
        <v>4.0000000000000027</v>
      </c>
      <c r="R187" s="62">
        <v>6.0000000000000036</v>
      </c>
      <c r="S187" s="62">
        <v>0</v>
      </c>
      <c r="T187" s="63">
        <v>6.0000000000000036</v>
      </c>
      <c r="U187" s="66" t="e">
        <f t="shared" ca="1" si="85"/>
        <v>#DIV/0!</v>
      </c>
      <c r="V187" s="66">
        <f t="shared" ca="1" si="86"/>
        <v>0.5</v>
      </c>
      <c r="W187" s="70">
        <f t="shared" si="87"/>
        <v>0.63157894736842146</v>
      </c>
      <c r="X187" s="70">
        <f t="shared" si="88"/>
        <v>0.84210526315789525</v>
      </c>
      <c r="Y187" s="70">
        <f t="shared" si="89"/>
        <v>0.14035087719298245</v>
      </c>
      <c r="Z187" s="70">
        <f t="shared" si="90"/>
        <v>1.4035087719298256</v>
      </c>
      <c r="AA187" s="70">
        <f t="shared" si="91"/>
        <v>0.3508771929824564</v>
      </c>
      <c r="AB187" s="70">
        <f t="shared" si="92"/>
        <v>0.73684210526315841</v>
      </c>
      <c r="AC187" s="70">
        <f t="shared" si="93"/>
        <v>0</v>
      </c>
      <c r="AD187" s="71">
        <f t="shared" si="94"/>
        <v>0.63157894736842146</v>
      </c>
      <c r="AE187" s="72">
        <f t="shared" si="95"/>
        <v>0.5</v>
      </c>
      <c r="AF187" s="72">
        <f t="shared" ca="1" si="96"/>
        <v>0.5</v>
      </c>
      <c r="AG187" s="73">
        <f t="shared" ca="1" si="97"/>
        <v>0.5</v>
      </c>
      <c r="AH187" s="456">
        <f t="shared" si="98"/>
        <v>4.7368421052631611</v>
      </c>
      <c r="AI187" s="467">
        <f t="shared" ca="1" si="99"/>
        <v>23.684210526315805</v>
      </c>
      <c r="AJ187" s="458" t="str">
        <f t="shared" ca="1" si="100"/>
        <v>Q4</v>
      </c>
      <c r="AK187" s="95" t="s">
        <v>360</v>
      </c>
      <c r="AL187" s="572"/>
      <c r="AM187" s="117"/>
      <c r="AN187" s="113"/>
      <c r="AO187" s="113"/>
      <c r="AP187" s="113"/>
      <c r="AQ187" s="121"/>
      <c r="AR187" s="436"/>
      <c r="AS187" s="437"/>
      <c r="AT187" s="437"/>
      <c r="AU187" s="437"/>
      <c r="AV187" s="437"/>
      <c r="AW187" s="94"/>
    </row>
    <row r="188" spans="1:49" ht="36" customHeight="1">
      <c r="A188" s="5">
        <v>134</v>
      </c>
      <c r="B188" s="625">
        <v>301</v>
      </c>
      <c r="C188" s="6" t="s">
        <v>12</v>
      </c>
      <c r="D188" s="371" t="s">
        <v>418</v>
      </c>
      <c r="E188" s="12" t="s">
        <v>1495</v>
      </c>
      <c r="F188" s="22" t="s">
        <v>1242</v>
      </c>
      <c r="G188" s="127" t="s">
        <v>25</v>
      </c>
      <c r="H188" s="603">
        <v>1000000</v>
      </c>
      <c r="I188" s="50">
        <v>7</v>
      </c>
      <c r="J188" s="55">
        <v>0.6</v>
      </c>
      <c r="K188" s="49"/>
      <c r="L188" s="56"/>
      <c r="M188" s="61">
        <v>8.0000000000000053</v>
      </c>
      <c r="N188" s="62">
        <v>8.0000000000000053</v>
      </c>
      <c r="O188" s="62">
        <v>6.0000000000000036</v>
      </c>
      <c r="P188" s="62">
        <v>9.9999999999999982</v>
      </c>
      <c r="Q188" s="62">
        <v>6.0000000000000036</v>
      </c>
      <c r="R188" s="62">
        <v>8.0000000000000053</v>
      </c>
      <c r="S188" s="62">
        <v>0</v>
      </c>
      <c r="T188" s="63">
        <v>8.0000000000000053</v>
      </c>
      <c r="U188" s="66" t="e">
        <f t="shared" ca="1" si="85"/>
        <v>#DIV/0!</v>
      </c>
      <c r="V188" s="66">
        <f t="shared" ca="1" si="86"/>
        <v>0.6</v>
      </c>
      <c r="W188" s="70">
        <f t="shared" si="87"/>
        <v>1.2631578947368429</v>
      </c>
      <c r="X188" s="70">
        <f t="shared" si="88"/>
        <v>0.84210526315789525</v>
      </c>
      <c r="Y188" s="70">
        <f t="shared" si="89"/>
        <v>0.84210526315789525</v>
      </c>
      <c r="Z188" s="70">
        <f t="shared" si="90"/>
        <v>1.7543859649122804</v>
      </c>
      <c r="AA188" s="70">
        <f t="shared" si="91"/>
        <v>0.52631578947368451</v>
      </c>
      <c r="AB188" s="70">
        <f t="shared" si="92"/>
        <v>0.9824561403508778</v>
      </c>
      <c r="AC188" s="70">
        <f t="shared" si="93"/>
        <v>0</v>
      </c>
      <c r="AD188" s="71">
        <f t="shared" si="94"/>
        <v>0.84210526315789525</v>
      </c>
      <c r="AE188" s="72">
        <f t="shared" si="95"/>
        <v>0.29999999999999993</v>
      </c>
      <c r="AF188" s="72">
        <f t="shared" ca="1" si="96"/>
        <v>0.4</v>
      </c>
      <c r="AG188" s="73">
        <f t="shared" ca="1" si="97"/>
        <v>0.33333333333333331</v>
      </c>
      <c r="AH188" s="456">
        <f t="shared" si="98"/>
        <v>7.0526315789473708</v>
      </c>
      <c r="AI188" s="467">
        <f t="shared" ca="1" si="99"/>
        <v>23.508771929824569</v>
      </c>
      <c r="AJ188" s="458" t="str">
        <f t="shared" ca="1" si="100"/>
        <v>Q3</v>
      </c>
      <c r="AK188" s="95" t="s">
        <v>360</v>
      </c>
      <c r="AL188" s="572"/>
      <c r="AM188" s="117"/>
      <c r="AN188" s="113"/>
      <c r="AO188" s="113"/>
      <c r="AP188" s="113"/>
      <c r="AQ188" s="121"/>
      <c r="AR188" s="436"/>
      <c r="AS188" s="437"/>
      <c r="AT188" s="437"/>
      <c r="AU188" s="437"/>
      <c r="AV188" s="437"/>
      <c r="AW188" s="94"/>
    </row>
    <row r="189" spans="1:49" ht="36" customHeight="1">
      <c r="A189" s="5">
        <v>102</v>
      </c>
      <c r="B189" s="625">
        <v>303</v>
      </c>
      <c r="C189" s="6" t="s">
        <v>18</v>
      </c>
      <c r="D189" s="371" t="s">
        <v>416</v>
      </c>
      <c r="E189" s="12" t="s">
        <v>263</v>
      </c>
      <c r="F189" s="22" t="s">
        <v>1406</v>
      </c>
      <c r="G189" s="112" t="s">
        <v>77</v>
      </c>
      <c r="H189" s="600">
        <v>750000</v>
      </c>
      <c r="I189" s="49">
        <v>5</v>
      </c>
      <c r="J189" s="55">
        <v>0.3</v>
      </c>
      <c r="K189" s="49"/>
      <c r="L189" s="56"/>
      <c r="M189" s="61">
        <v>4</v>
      </c>
      <c r="N189" s="62">
        <v>8.0000000000000053</v>
      </c>
      <c r="O189" s="62">
        <v>1</v>
      </c>
      <c r="P189" s="62">
        <v>4</v>
      </c>
      <c r="Q189" s="62">
        <v>1</v>
      </c>
      <c r="R189" s="62">
        <v>7.0000000000000044</v>
      </c>
      <c r="S189" s="62">
        <v>0</v>
      </c>
      <c r="T189" s="63">
        <v>8.0000000000000053</v>
      </c>
      <c r="U189" s="66" t="e">
        <f t="shared" ca="1" si="85"/>
        <v>#DIV/0!</v>
      </c>
      <c r="V189" s="66">
        <f t="shared" ca="1" si="86"/>
        <v>0.3</v>
      </c>
      <c r="W189" s="70">
        <f t="shared" si="87"/>
        <v>0.63157894736842102</v>
      </c>
      <c r="X189" s="70">
        <f t="shared" si="88"/>
        <v>0.84210526315789525</v>
      </c>
      <c r="Y189" s="70">
        <f t="shared" si="89"/>
        <v>0.14035087719298245</v>
      </c>
      <c r="Z189" s="70">
        <f t="shared" si="90"/>
        <v>0.70175438596491224</v>
      </c>
      <c r="AA189" s="70">
        <f t="shared" si="91"/>
        <v>8.771929824561403E-2</v>
      </c>
      <c r="AB189" s="70">
        <f t="shared" si="92"/>
        <v>0.859649122807018</v>
      </c>
      <c r="AC189" s="70">
        <f t="shared" si="93"/>
        <v>0</v>
      </c>
      <c r="AD189" s="71">
        <f t="shared" si="94"/>
        <v>0.84210526315789525</v>
      </c>
      <c r="AE189" s="72">
        <f t="shared" si="95"/>
        <v>0.5</v>
      </c>
      <c r="AF189" s="72">
        <f t="shared" ca="1" si="96"/>
        <v>0.7</v>
      </c>
      <c r="AG189" s="73">
        <f t="shared" ca="1" si="97"/>
        <v>0.56666666666666665</v>
      </c>
      <c r="AH189" s="456">
        <f t="shared" si="98"/>
        <v>4.1052631578947381</v>
      </c>
      <c r="AI189" s="467">
        <f t="shared" ca="1" si="99"/>
        <v>23.26315789473685</v>
      </c>
      <c r="AJ189" s="458" t="str">
        <f t="shared" ca="1" si="100"/>
        <v>Q4</v>
      </c>
      <c r="AK189" s="93" t="s">
        <v>360</v>
      </c>
      <c r="AL189" s="110"/>
      <c r="AM189" s="117"/>
      <c r="AN189" s="113"/>
      <c r="AO189" s="113"/>
      <c r="AP189" s="113"/>
      <c r="AQ189" s="121"/>
      <c r="AR189" s="436"/>
      <c r="AS189" s="437"/>
      <c r="AT189" s="437"/>
      <c r="AU189" s="437"/>
      <c r="AV189" s="437"/>
      <c r="AW189" s="94"/>
    </row>
    <row r="190" spans="1:49" ht="36" customHeight="1">
      <c r="A190" s="5">
        <v>139</v>
      </c>
      <c r="B190" s="625">
        <v>304</v>
      </c>
      <c r="C190" s="14" t="s">
        <v>20</v>
      </c>
      <c r="D190" s="442" t="s">
        <v>7</v>
      </c>
      <c r="E190" s="12" t="s">
        <v>335</v>
      </c>
      <c r="F190" s="22" t="s">
        <v>1183</v>
      </c>
      <c r="G190" s="13" t="s">
        <v>336</v>
      </c>
      <c r="H190" s="600">
        <v>150000</v>
      </c>
      <c r="I190" s="50">
        <v>5</v>
      </c>
      <c r="J190" s="55">
        <v>0.5</v>
      </c>
      <c r="K190" s="49"/>
      <c r="L190" s="56"/>
      <c r="M190" s="61">
        <v>8.0000000000000053</v>
      </c>
      <c r="N190" s="62">
        <v>6.0000000000000036</v>
      </c>
      <c r="O190" s="62">
        <v>4.0000000000000027</v>
      </c>
      <c r="P190" s="62">
        <v>4.0000000000000027</v>
      </c>
      <c r="Q190" s="62">
        <v>4.0000000000000027</v>
      </c>
      <c r="R190" s="62">
        <v>4.0000000000000027</v>
      </c>
      <c r="S190" s="62">
        <v>0</v>
      </c>
      <c r="T190" s="63">
        <v>6.0000000000000036</v>
      </c>
      <c r="U190" s="66" t="e">
        <f t="shared" ca="1" si="85"/>
        <v>#DIV/0!</v>
      </c>
      <c r="V190" s="66">
        <f t="shared" ca="1" si="86"/>
        <v>0.5</v>
      </c>
      <c r="W190" s="70">
        <f t="shared" si="87"/>
        <v>1.2631578947368429</v>
      </c>
      <c r="X190" s="70">
        <f t="shared" si="88"/>
        <v>0.63157894736842146</v>
      </c>
      <c r="Y190" s="70">
        <f t="shared" si="89"/>
        <v>0.56140350877193024</v>
      </c>
      <c r="Z190" s="70">
        <f t="shared" si="90"/>
        <v>0.7017543859649128</v>
      </c>
      <c r="AA190" s="70">
        <f t="shared" si="91"/>
        <v>0.3508771929824564</v>
      </c>
      <c r="AB190" s="70">
        <f t="shared" si="92"/>
        <v>0.4912280701754389</v>
      </c>
      <c r="AC190" s="70">
        <f t="shared" si="93"/>
        <v>0</v>
      </c>
      <c r="AD190" s="71">
        <f t="shared" si="94"/>
        <v>0.63157894736842146</v>
      </c>
      <c r="AE190" s="72">
        <f t="shared" si="95"/>
        <v>0.5</v>
      </c>
      <c r="AF190" s="72">
        <f t="shared" ca="1" si="96"/>
        <v>0.5</v>
      </c>
      <c r="AG190" s="73">
        <f t="shared" ca="1" si="97"/>
        <v>0.5</v>
      </c>
      <c r="AH190" s="456">
        <f t="shared" si="98"/>
        <v>4.6315789473684239</v>
      </c>
      <c r="AI190" s="467">
        <f t="shared" ca="1" si="99"/>
        <v>23.15789473684212</v>
      </c>
      <c r="AJ190" s="458" t="str">
        <f t="shared" ca="1" si="100"/>
        <v>Q4</v>
      </c>
      <c r="AK190" s="95" t="s">
        <v>360</v>
      </c>
      <c r="AL190" s="573"/>
      <c r="AM190" s="117"/>
      <c r="AN190" s="113"/>
      <c r="AO190" s="113"/>
      <c r="AP190" s="113"/>
      <c r="AQ190" s="121"/>
      <c r="AR190" s="436"/>
      <c r="AS190" s="437"/>
      <c r="AT190" s="437"/>
      <c r="AU190" s="437"/>
      <c r="AV190" s="437"/>
      <c r="AW190" s="94"/>
    </row>
    <row r="191" spans="1:49" ht="36" customHeight="1">
      <c r="A191" s="5">
        <v>250</v>
      </c>
      <c r="B191" s="625">
        <v>306</v>
      </c>
      <c r="C191" s="6" t="s">
        <v>20</v>
      </c>
      <c r="D191" s="371" t="s">
        <v>7</v>
      </c>
      <c r="E191" s="18" t="s">
        <v>343</v>
      </c>
      <c r="F191" s="19" t="s">
        <v>1184</v>
      </c>
      <c r="G191" s="20" t="s">
        <v>344</v>
      </c>
      <c r="H191" s="603">
        <v>91000</v>
      </c>
      <c r="I191" s="50">
        <v>5</v>
      </c>
      <c r="J191" s="55">
        <v>0.6</v>
      </c>
      <c r="K191" s="49"/>
      <c r="L191" s="56"/>
      <c r="M191" s="61">
        <v>6.0000000000000036</v>
      </c>
      <c r="N191" s="62">
        <v>1</v>
      </c>
      <c r="O191" s="62">
        <v>8.0000000000000053</v>
      </c>
      <c r="P191" s="62">
        <v>4.0000000000000027</v>
      </c>
      <c r="Q191" s="62">
        <v>8.0000000000000053</v>
      </c>
      <c r="R191" s="62">
        <v>1</v>
      </c>
      <c r="S191" s="62">
        <v>4</v>
      </c>
      <c r="T191" s="63">
        <v>6.0000000000000036</v>
      </c>
      <c r="U191" s="66" t="e">
        <f t="shared" ca="1" si="85"/>
        <v>#DIV/0!</v>
      </c>
      <c r="V191" s="66">
        <f t="shared" ca="1" si="86"/>
        <v>0.6</v>
      </c>
      <c r="W191" s="70">
        <f t="shared" si="87"/>
        <v>0.94736842105263208</v>
      </c>
      <c r="X191" s="70">
        <f t="shared" si="88"/>
        <v>0.10526315789473684</v>
      </c>
      <c r="Y191" s="70">
        <f t="shared" si="89"/>
        <v>1.1228070175438605</v>
      </c>
      <c r="Z191" s="70">
        <f t="shared" si="90"/>
        <v>0.7017543859649128</v>
      </c>
      <c r="AA191" s="70">
        <f t="shared" si="91"/>
        <v>0.7017543859649128</v>
      </c>
      <c r="AB191" s="70">
        <f t="shared" si="92"/>
        <v>0.12280701754385964</v>
      </c>
      <c r="AC191" s="70">
        <f t="shared" si="93"/>
        <v>0.42105263157894735</v>
      </c>
      <c r="AD191" s="71">
        <f t="shared" si="94"/>
        <v>0.63157894736842146</v>
      </c>
      <c r="AE191" s="72">
        <f t="shared" si="95"/>
        <v>0.5</v>
      </c>
      <c r="AF191" s="72">
        <f t="shared" ca="1" si="96"/>
        <v>0.4</v>
      </c>
      <c r="AG191" s="73">
        <f t="shared" ca="1" si="97"/>
        <v>0.46666666666666662</v>
      </c>
      <c r="AH191" s="456">
        <f t="shared" si="98"/>
        <v>4.7543859649122826</v>
      </c>
      <c r="AI191" s="467">
        <f t="shared" ca="1" si="99"/>
        <v>22.187134502923982</v>
      </c>
      <c r="AJ191" s="458" t="str">
        <f t="shared" ca="1" si="100"/>
        <v>Q4</v>
      </c>
      <c r="AK191" s="95" t="s">
        <v>360</v>
      </c>
      <c r="AL191" s="572"/>
      <c r="AM191" s="117"/>
      <c r="AN191" s="113"/>
      <c r="AO191" s="113"/>
      <c r="AP191" s="113"/>
      <c r="AQ191" s="121"/>
      <c r="AR191" s="436"/>
      <c r="AS191" s="437"/>
      <c r="AT191" s="437"/>
      <c r="AU191" s="437"/>
      <c r="AV191" s="437"/>
      <c r="AW191" s="94"/>
    </row>
    <row r="192" spans="1:49" ht="36" customHeight="1">
      <c r="A192" s="5">
        <v>246</v>
      </c>
      <c r="B192" s="625">
        <v>308</v>
      </c>
      <c r="C192" s="669" t="s">
        <v>26</v>
      </c>
      <c r="D192" s="665"/>
      <c r="E192" s="10" t="s">
        <v>1519</v>
      </c>
      <c r="F192" s="11" t="s">
        <v>1522</v>
      </c>
      <c r="G192" s="666"/>
      <c r="H192" s="608">
        <v>300000</v>
      </c>
      <c r="I192" s="50">
        <v>6</v>
      </c>
      <c r="J192" s="55">
        <v>0.6</v>
      </c>
      <c r="K192" s="49"/>
      <c r="L192" s="56"/>
      <c r="M192" s="61">
        <v>9</v>
      </c>
      <c r="N192" s="62">
        <v>7</v>
      </c>
      <c r="O192" s="62">
        <v>5</v>
      </c>
      <c r="P192" s="62">
        <v>4</v>
      </c>
      <c r="Q192" s="62">
        <v>1</v>
      </c>
      <c r="R192" s="62">
        <v>7</v>
      </c>
      <c r="S192" s="62">
        <v>1</v>
      </c>
      <c r="T192" s="63">
        <v>8</v>
      </c>
      <c r="U192" s="66" t="e">
        <f t="shared" ca="1" si="85"/>
        <v>#DIV/0!</v>
      </c>
      <c r="V192" s="66">
        <f t="shared" ca="1" si="86"/>
        <v>0.6</v>
      </c>
      <c r="W192" s="70">
        <f t="shared" si="87"/>
        <v>1.4210526315789473</v>
      </c>
      <c r="X192" s="70">
        <f t="shared" si="88"/>
        <v>0.73684210526315785</v>
      </c>
      <c r="Y192" s="70">
        <f t="shared" si="89"/>
        <v>0.70175438596491224</v>
      </c>
      <c r="Z192" s="70">
        <f t="shared" si="90"/>
        <v>0.70175438596491224</v>
      </c>
      <c r="AA192" s="70">
        <f t="shared" si="91"/>
        <v>8.771929824561403E-2</v>
      </c>
      <c r="AB192" s="70">
        <f t="shared" si="92"/>
        <v>0.85964912280701755</v>
      </c>
      <c r="AC192" s="70">
        <f t="shared" si="93"/>
        <v>0.10526315789473684</v>
      </c>
      <c r="AD192" s="71">
        <f t="shared" si="94"/>
        <v>0.84210526315789469</v>
      </c>
      <c r="AE192" s="72">
        <f t="shared" si="95"/>
        <v>0.39999999999999991</v>
      </c>
      <c r="AF192" s="72">
        <f t="shared" ca="1" si="96"/>
        <v>0.4</v>
      </c>
      <c r="AG192" s="73">
        <f t="shared" ca="1" si="97"/>
        <v>0.39999999999999991</v>
      </c>
      <c r="AH192" s="456">
        <f t="shared" si="98"/>
        <v>5.4561403508771935</v>
      </c>
      <c r="AI192" s="467">
        <f t="shared" ca="1" si="99"/>
        <v>21.824561403508767</v>
      </c>
      <c r="AJ192" s="458" t="str">
        <f t="shared" ca="1" si="100"/>
        <v>Q4</v>
      </c>
      <c r="AK192" s="95" t="s">
        <v>360</v>
      </c>
      <c r="AL192" s="571"/>
      <c r="AM192" s="117"/>
      <c r="AN192" s="113"/>
      <c r="AO192" s="113"/>
      <c r="AP192" s="113"/>
      <c r="AQ192" s="121"/>
      <c r="AR192" s="436"/>
      <c r="AS192" s="437"/>
      <c r="AT192" s="437"/>
      <c r="AU192" s="437"/>
      <c r="AV192" s="437"/>
      <c r="AW192" s="94"/>
    </row>
    <row r="193" spans="1:49" ht="36" customHeight="1">
      <c r="A193" s="5">
        <v>56</v>
      </c>
      <c r="B193" s="625">
        <v>312</v>
      </c>
      <c r="C193" s="14" t="s">
        <v>20</v>
      </c>
      <c r="D193" s="442" t="s">
        <v>7</v>
      </c>
      <c r="E193" s="7" t="s">
        <v>345</v>
      </c>
      <c r="F193" s="8" t="s">
        <v>1290</v>
      </c>
      <c r="G193" s="8" t="s">
        <v>1356</v>
      </c>
      <c r="H193" s="600">
        <v>147000</v>
      </c>
      <c r="I193" s="50">
        <v>3</v>
      </c>
      <c r="J193" s="55">
        <v>0</v>
      </c>
      <c r="K193" s="49"/>
      <c r="L193" s="56"/>
      <c r="M193" s="61">
        <v>4.0000000000000027</v>
      </c>
      <c r="N193" s="62">
        <v>1</v>
      </c>
      <c r="O193" s="62">
        <v>1</v>
      </c>
      <c r="P193" s="62">
        <v>4.0000000000000027</v>
      </c>
      <c r="Q193" s="62">
        <v>4.0000000000000027</v>
      </c>
      <c r="R193" s="62">
        <v>1</v>
      </c>
      <c r="S193" s="62">
        <v>1</v>
      </c>
      <c r="T193" s="63">
        <v>1</v>
      </c>
      <c r="U193" s="66" t="e">
        <f t="shared" ca="1" si="85"/>
        <v>#DIV/0!</v>
      </c>
      <c r="V193" s="66">
        <f t="shared" ca="1" si="86"/>
        <v>0</v>
      </c>
      <c r="W193" s="70">
        <f t="shared" si="87"/>
        <v>0.63157894736842146</v>
      </c>
      <c r="X193" s="70">
        <f t="shared" si="88"/>
        <v>0.10526315789473684</v>
      </c>
      <c r="Y193" s="70">
        <f t="shared" si="89"/>
        <v>0.14035087719298245</v>
      </c>
      <c r="Z193" s="70">
        <f t="shared" si="90"/>
        <v>0.7017543859649128</v>
      </c>
      <c r="AA193" s="70">
        <f t="shared" si="91"/>
        <v>0.3508771929824564</v>
      </c>
      <c r="AB193" s="70">
        <f t="shared" si="92"/>
        <v>0.12280701754385964</v>
      </c>
      <c r="AC193" s="70">
        <f t="shared" si="93"/>
        <v>0.10526315789473684</v>
      </c>
      <c r="AD193" s="71">
        <f t="shared" si="94"/>
        <v>0.10526315789473684</v>
      </c>
      <c r="AE193" s="72">
        <f t="shared" si="95"/>
        <v>0.7</v>
      </c>
      <c r="AF193" s="72">
        <f t="shared" ca="1" si="96"/>
        <v>1</v>
      </c>
      <c r="AG193" s="73">
        <f t="shared" ca="1" si="97"/>
        <v>0.79999999999999993</v>
      </c>
      <c r="AH193" s="456">
        <f t="shared" si="98"/>
        <v>2.2631578947368429</v>
      </c>
      <c r="AI193" s="467">
        <f t="shared" ca="1" si="99"/>
        <v>18.105263157894743</v>
      </c>
      <c r="AJ193" s="458" t="str">
        <f t="shared" ca="1" si="100"/>
        <v>Q2</v>
      </c>
      <c r="AK193" s="95" t="s">
        <v>360</v>
      </c>
      <c r="AL193" s="572"/>
      <c r="AM193" s="117"/>
      <c r="AN193" s="113"/>
      <c r="AO193" s="113"/>
      <c r="AP193" s="113"/>
      <c r="AQ193" s="121"/>
      <c r="AR193" s="436"/>
      <c r="AS193" s="437"/>
      <c r="AT193" s="437"/>
      <c r="AU193" s="437"/>
      <c r="AV193" s="437"/>
      <c r="AW193" s="94"/>
    </row>
    <row r="194" spans="1:49" ht="36" customHeight="1">
      <c r="A194" s="5">
        <v>217</v>
      </c>
      <c r="B194" s="712">
        <v>313</v>
      </c>
      <c r="C194" s="713" t="s">
        <v>20</v>
      </c>
      <c r="D194" s="714" t="s">
        <v>7</v>
      </c>
      <c r="E194" s="718" t="s">
        <v>1533</v>
      </c>
      <c r="F194" s="22" t="s">
        <v>1534</v>
      </c>
      <c r="G194" s="13" t="s">
        <v>336</v>
      </c>
      <c r="H194" s="600">
        <v>150000</v>
      </c>
      <c r="I194" s="50">
        <v>5</v>
      </c>
      <c r="J194" s="55">
        <v>0.4</v>
      </c>
      <c r="K194" s="49"/>
      <c r="L194" s="56"/>
      <c r="M194" s="61">
        <v>5.0000000000000027</v>
      </c>
      <c r="N194" s="62">
        <v>3</v>
      </c>
      <c r="O194" s="62">
        <v>3</v>
      </c>
      <c r="P194" s="62">
        <v>1</v>
      </c>
      <c r="Q194" s="62">
        <v>4</v>
      </c>
      <c r="R194" s="62">
        <v>2</v>
      </c>
      <c r="S194" s="62">
        <v>0</v>
      </c>
      <c r="T194" s="63">
        <v>5.0000000000000027</v>
      </c>
      <c r="U194" s="66" t="e">
        <f t="shared" ca="1" si="85"/>
        <v>#DIV/0!</v>
      </c>
      <c r="V194" s="66">
        <f t="shared" ca="1" si="86"/>
        <v>0.4</v>
      </c>
      <c r="W194" s="70">
        <f t="shared" si="87"/>
        <v>0.78947368421052666</v>
      </c>
      <c r="X194" s="70">
        <f t="shared" si="88"/>
        <v>0.31578947368421051</v>
      </c>
      <c r="Y194" s="70">
        <f t="shared" si="89"/>
        <v>0.42105263157894735</v>
      </c>
      <c r="Z194" s="70">
        <f t="shared" si="90"/>
        <v>0.17543859649122806</v>
      </c>
      <c r="AA194" s="70">
        <f t="shared" si="91"/>
        <v>0.35087719298245612</v>
      </c>
      <c r="AB194" s="70">
        <f t="shared" si="92"/>
        <v>0.24561403508771928</v>
      </c>
      <c r="AC194" s="70">
        <f t="shared" si="93"/>
        <v>0</v>
      </c>
      <c r="AD194" s="71">
        <f t="shared" si="94"/>
        <v>0.52631578947368451</v>
      </c>
      <c r="AE194" s="72">
        <f t="shared" si="95"/>
        <v>0.5</v>
      </c>
      <c r="AF194" s="72">
        <f t="shared" ca="1" si="96"/>
        <v>0.6</v>
      </c>
      <c r="AG194" s="73">
        <f t="shared" ca="1" si="97"/>
        <v>0.53333333333333333</v>
      </c>
      <c r="AH194" s="456">
        <f t="shared" si="98"/>
        <v>2.8245614035087727</v>
      </c>
      <c r="AI194" s="467">
        <f t="shared" ca="1" si="99"/>
        <v>15.064327485380121</v>
      </c>
      <c r="AJ194" s="458" t="str">
        <f t="shared" ca="1" si="100"/>
        <v>Q4</v>
      </c>
      <c r="AK194" s="95" t="s">
        <v>360</v>
      </c>
      <c r="AL194" s="572"/>
      <c r="AM194" s="117"/>
      <c r="AN194" s="113"/>
      <c r="AO194" s="113"/>
      <c r="AP194" s="113"/>
      <c r="AQ194" s="121"/>
      <c r="AR194" s="436"/>
      <c r="AS194" s="437"/>
      <c r="AT194" s="437"/>
      <c r="AU194" s="437"/>
      <c r="AV194" s="437"/>
      <c r="AW194" s="94"/>
    </row>
    <row r="195" spans="1:49" ht="36" customHeight="1">
      <c r="A195" s="5"/>
      <c r="B195" s="743" t="s">
        <v>1562</v>
      </c>
      <c r="C195" s="744"/>
      <c r="D195" s="744"/>
      <c r="E195" s="744"/>
      <c r="F195" s="745"/>
      <c r="G195" s="8"/>
      <c r="H195" s="600"/>
      <c r="I195" s="49"/>
      <c r="J195" s="55"/>
      <c r="K195" s="49"/>
      <c r="L195" s="56"/>
      <c r="M195" s="61"/>
      <c r="N195" s="62"/>
      <c r="O195" s="62"/>
      <c r="P195" s="62"/>
      <c r="Q195" s="62"/>
      <c r="R195" s="62"/>
      <c r="S195" s="62"/>
      <c r="T195" s="63"/>
      <c r="U195" s="66"/>
      <c r="V195" s="66"/>
      <c r="W195" s="70"/>
      <c r="X195" s="70"/>
      <c r="Y195" s="70"/>
      <c r="Z195" s="70"/>
      <c r="AA195" s="70"/>
      <c r="AB195" s="70"/>
      <c r="AC195" s="70"/>
      <c r="AD195" s="71"/>
      <c r="AE195" s="72"/>
      <c r="AF195" s="72"/>
      <c r="AG195" s="73"/>
      <c r="AH195" s="456"/>
      <c r="AI195" s="467"/>
      <c r="AJ195" s="458"/>
      <c r="AK195" s="93"/>
      <c r="AL195" s="571"/>
      <c r="AM195" s="117"/>
      <c r="AN195" s="113"/>
      <c r="AO195" s="113"/>
      <c r="AP195" s="113"/>
      <c r="AQ195" s="121"/>
      <c r="AR195" s="436"/>
      <c r="AS195" s="437"/>
      <c r="AT195" s="437"/>
      <c r="AU195" s="437"/>
      <c r="AV195" s="692"/>
      <c r="AW195" s="94"/>
    </row>
    <row r="196" spans="1:49" s="228" customFormat="1" ht="36" customHeight="1">
      <c r="A196" s="5">
        <v>239</v>
      </c>
      <c r="B196" s="625">
        <v>40</v>
      </c>
      <c r="C196" s="6" t="s">
        <v>20</v>
      </c>
      <c r="D196" s="371" t="s">
        <v>417</v>
      </c>
      <c r="E196" s="10" t="s">
        <v>1529</v>
      </c>
      <c r="F196" s="23" t="s">
        <v>1181</v>
      </c>
      <c r="G196" s="23"/>
      <c r="H196" s="603">
        <v>62000</v>
      </c>
      <c r="I196" s="50">
        <v>2</v>
      </c>
      <c r="J196" s="55">
        <v>0.2</v>
      </c>
      <c r="K196" s="49"/>
      <c r="L196" s="56"/>
      <c r="M196" s="61">
        <v>6.0000000000000036</v>
      </c>
      <c r="N196" s="62">
        <v>8</v>
      </c>
      <c r="O196" s="62">
        <v>4.0000000000000027</v>
      </c>
      <c r="P196" s="62">
        <v>8.0000000000000053</v>
      </c>
      <c r="Q196" s="62">
        <v>4.0000000000000027</v>
      </c>
      <c r="R196" s="62">
        <v>8.0000000000000053</v>
      </c>
      <c r="S196" s="62">
        <v>0</v>
      </c>
      <c r="T196" s="63">
        <v>8</v>
      </c>
      <c r="U196" s="66" t="e">
        <f t="shared" ref="U196:U210" ca="1" si="101">(L196-(YEAR(TODAY())-K196))/L196</f>
        <v>#DIV/0!</v>
      </c>
      <c r="V196" s="66">
        <f t="shared" ref="V196:V210" ca="1" si="102">IFERROR(U196,J196)</f>
        <v>0.2</v>
      </c>
      <c r="W196" s="70">
        <f t="shared" ref="W196:W210" si="103">M196*Weight1/(WSum)</f>
        <v>0.94736842105263208</v>
      </c>
      <c r="X196" s="70">
        <f t="shared" ref="X196:X210" si="104">N196*Weight2/(WSum)</f>
        <v>0.84210526315789469</v>
      </c>
      <c r="Y196" s="70">
        <f t="shared" ref="Y196:Y210" si="105">O196*Weight3/(WSum)</f>
        <v>0.56140350877193024</v>
      </c>
      <c r="Z196" s="70">
        <f t="shared" ref="Z196:Z210" si="106">P196*Weight4/(WSum)</f>
        <v>1.4035087719298256</v>
      </c>
      <c r="AA196" s="70">
        <f t="shared" ref="AA196:AA210" si="107">Q196*Weight5/(WSum)</f>
        <v>0.3508771929824564</v>
      </c>
      <c r="AB196" s="70">
        <f t="shared" ref="AB196:AB210" si="108">R196*Weight6/(WSum)</f>
        <v>0.9824561403508778</v>
      </c>
      <c r="AC196" s="70">
        <f t="shared" ref="AC196:AC210" si="109">S196*Weight7/(WSum)</f>
        <v>0</v>
      </c>
      <c r="AD196" s="71">
        <f t="shared" ref="AD196:AD210" si="110">T196*Weight8/(WSum)</f>
        <v>0.84210526315789469</v>
      </c>
      <c r="AE196" s="72">
        <f t="shared" ref="AE196:AE210" si="111">-1/10*I196+1</f>
        <v>0.8</v>
      </c>
      <c r="AF196" s="72">
        <f t="shared" ref="AF196:AF210" ca="1" si="112">IF(V196&lt;0,0,-V196+1)</f>
        <v>0.8</v>
      </c>
      <c r="AG196" s="73">
        <f t="shared" ref="AG196:AG210" ca="1" si="113">(AE196*CondWeight+AF196*PLifeWeight)/(CondWeight+PLifeWeight)</f>
        <v>0.80000000000000016</v>
      </c>
      <c r="AH196" s="456">
        <f t="shared" ref="AH196:AH210" si="114">SUM(W196:AD196)</f>
        <v>5.9298245614035112</v>
      </c>
      <c r="AI196" s="467">
        <f t="shared" ref="AI196:AI210" ca="1" si="115">AH196*AG196*10</f>
        <v>47.438596491228104</v>
      </c>
      <c r="AJ196" s="458" t="str">
        <f t="shared" ref="AJ196:AJ210" ca="1" si="116">IF(AG196&gt;$AG$2,IF(AH196&gt;$AH$2,"Q1","Q2"),IF(AH196&gt;$AH$2,"Q3","Q4"))</f>
        <v>Q2</v>
      </c>
      <c r="AK196" s="95" t="s">
        <v>1487</v>
      </c>
      <c r="AL196" s="572"/>
      <c r="AM196" s="117">
        <v>62000</v>
      </c>
      <c r="AN196" s="113"/>
      <c r="AO196" s="113"/>
      <c r="AP196" s="113"/>
      <c r="AQ196" s="121"/>
      <c r="AR196" s="436">
        <f>AM196</f>
        <v>62000</v>
      </c>
      <c r="AS196" s="437"/>
      <c r="AT196" s="437"/>
      <c r="AU196" s="437"/>
      <c r="AV196" s="437"/>
      <c r="AW196" s="94"/>
    </row>
    <row r="197" spans="1:49" ht="36" customHeight="1">
      <c r="A197" s="1">
        <v>301</v>
      </c>
      <c r="B197" s="625">
        <v>52</v>
      </c>
      <c r="C197" s="2" t="s">
        <v>18</v>
      </c>
      <c r="D197" s="370" t="s">
        <v>416</v>
      </c>
      <c r="E197" s="461" t="s">
        <v>1134</v>
      </c>
      <c r="F197" s="462" t="s">
        <v>1279</v>
      </c>
      <c r="G197" s="583" t="s">
        <v>37</v>
      </c>
      <c r="H197" s="599">
        <v>90000</v>
      </c>
      <c r="I197" s="376">
        <v>1</v>
      </c>
      <c r="J197" s="377">
        <v>0.1</v>
      </c>
      <c r="K197" s="376"/>
      <c r="L197" s="378"/>
      <c r="M197" s="61">
        <v>4.0000000000000027</v>
      </c>
      <c r="N197" s="62">
        <v>9.0000000000000018</v>
      </c>
      <c r="O197" s="62">
        <v>1</v>
      </c>
      <c r="P197" s="62">
        <v>8.0000000000000053</v>
      </c>
      <c r="Q197" s="62">
        <v>1</v>
      </c>
      <c r="R197" s="62">
        <v>8.0000000000000053</v>
      </c>
      <c r="S197" s="62">
        <v>0</v>
      </c>
      <c r="T197" s="63">
        <v>9.0000000000000018</v>
      </c>
      <c r="U197" s="379" t="e">
        <f t="shared" ca="1" si="101"/>
        <v>#DIV/0!</v>
      </c>
      <c r="V197" s="379">
        <f t="shared" ca="1" si="102"/>
        <v>0.1</v>
      </c>
      <c r="W197" s="70">
        <f t="shared" si="103"/>
        <v>0.63157894736842146</v>
      </c>
      <c r="X197" s="70">
        <f t="shared" si="104"/>
        <v>0.94736842105263186</v>
      </c>
      <c r="Y197" s="70">
        <f t="shared" si="105"/>
        <v>0.14035087719298245</v>
      </c>
      <c r="Z197" s="70">
        <f t="shared" si="106"/>
        <v>1.4035087719298256</v>
      </c>
      <c r="AA197" s="70">
        <f t="shared" si="107"/>
        <v>8.771929824561403E-2</v>
      </c>
      <c r="AB197" s="70">
        <f t="shared" si="108"/>
        <v>0.9824561403508778</v>
      </c>
      <c r="AC197" s="70">
        <f t="shared" si="109"/>
        <v>0</v>
      </c>
      <c r="AD197" s="71">
        <f t="shared" si="110"/>
        <v>0.94736842105263186</v>
      </c>
      <c r="AE197" s="72">
        <f t="shared" si="111"/>
        <v>0.9</v>
      </c>
      <c r="AF197" s="72">
        <f t="shared" ca="1" si="112"/>
        <v>0.9</v>
      </c>
      <c r="AG197" s="73">
        <f t="shared" ca="1" si="113"/>
        <v>0.9</v>
      </c>
      <c r="AH197" s="455">
        <f t="shared" si="114"/>
        <v>5.1403508771929847</v>
      </c>
      <c r="AI197" s="466">
        <f t="shared" ca="1" si="115"/>
        <v>46.263157894736864</v>
      </c>
      <c r="AJ197" s="458" t="str">
        <f t="shared" ca="1" si="116"/>
        <v>Q2</v>
      </c>
      <c r="AK197" s="91" t="s">
        <v>1487</v>
      </c>
      <c r="AL197" s="571"/>
      <c r="AM197" s="117">
        <v>45000</v>
      </c>
      <c r="AN197" s="113">
        <v>45000</v>
      </c>
      <c r="AO197" s="113"/>
      <c r="AP197" s="113"/>
      <c r="AQ197" s="121"/>
      <c r="AR197" s="436">
        <f>AM197</f>
        <v>45000</v>
      </c>
      <c r="AS197" s="437">
        <f>AN197*(1+Efactor)</f>
        <v>46575</v>
      </c>
      <c r="AT197" s="437"/>
      <c r="AU197" s="437"/>
      <c r="AV197" s="437"/>
      <c r="AW197" s="92"/>
    </row>
    <row r="198" spans="1:49" ht="36" customHeight="1">
      <c r="A198" s="5">
        <v>245</v>
      </c>
      <c r="B198" s="625">
        <v>59</v>
      </c>
      <c r="C198" s="14" t="s">
        <v>8</v>
      </c>
      <c r="D198" s="442" t="s">
        <v>7</v>
      </c>
      <c r="E198" s="10" t="s">
        <v>185</v>
      </c>
      <c r="F198" s="9" t="s">
        <v>186</v>
      </c>
      <c r="G198" s="8"/>
      <c r="H198" s="608">
        <v>700000</v>
      </c>
      <c r="I198" s="49">
        <v>1</v>
      </c>
      <c r="J198" s="55">
        <v>0.2</v>
      </c>
      <c r="K198" s="49"/>
      <c r="L198" s="56"/>
      <c r="M198" s="61">
        <v>6</v>
      </c>
      <c r="N198" s="62">
        <v>8</v>
      </c>
      <c r="O198" s="62">
        <v>1</v>
      </c>
      <c r="P198" s="62">
        <v>8</v>
      </c>
      <c r="Q198" s="62">
        <v>0</v>
      </c>
      <c r="R198" s="62">
        <v>8</v>
      </c>
      <c r="S198" s="62">
        <v>0</v>
      </c>
      <c r="T198" s="63">
        <v>9</v>
      </c>
      <c r="U198" s="66" t="e">
        <f t="shared" ca="1" si="101"/>
        <v>#DIV/0!</v>
      </c>
      <c r="V198" s="66">
        <f t="shared" ca="1" si="102"/>
        <v>0.2</v>
      </c>
      <c r="W198" s="70">
        <f t="shared" si="103"/>
        <v>0.94736842105263153</v>
      </c>
      <c r="X198" s="70">
        <f t="shared" si="104"/>
        <v>0.84210526315789469</v>
      </c>
      <c r="Y198" s="70">
        <f t="shared" si="105"/>
        <v>0.14035087719298245</v>
      </c>
      <c r="Z198" s="70">
        <f t="shared" si="106"/>
        <v>1.4035087719298245</v>
      </c>
      <c r="AA198" s="70">
        <f t="shared" si="107"/>
        <v>0</v>
      </c>
      <c r="AB198" s="70">
        <f t="shared" si="108"/>
        <v>0.98245614035087714</v>
      </c>
      <c r="AC198" s="70">
        <f t="shared" si="109"/>
        <v>0</v>
      </c>
      <c r="AD198" s="71">
        <f t="shared" si="110"/>
        <v>0.94736842105263153</v>
      </c>
      <c r="AE198" s="72">
        <f t="shared" si="111"/>
        <v>0.9</v>
      </c>
      <c r="AF198" s="72">
        <f t="shared" ca="1" si="112"/>
        <v>0.8</v>
      </c>
      <c r="AG198" s="73">
        <f t="shared" ca="1" si="113"/>
        <v>0.8666666666666667</v>
      </c>
      <c r="AH198" s="456">
        <f t="shared" si="114"/>
        <v>5.2631578947368425</v>
      </c>
      <c r="AI198" s="467">
        <f t="shared" ca="1" si="115"/>
        <v>45.614035087719309</v>
      </c>
      <c r="AJ198" s="458" t="str">
        <f t="shared" ca="1" si="116"/>
        <v>Q2</v>
      </c>
      <c r="AK198" s="93" t="s">
        <v>1487</v>
      </c>
      <c r="AL198" s="663">
        <v>80000</v>
      </c>
      <c r="AM198" s="117"/>
      <c r="AN198" s="113"/>
      <c r="AO198" s="113"/>
      <c r="AP198" s="113"/>
      <c r="AQ198" s="121"/>
      <c r="AR198" s="436">
        <v>620000</v>
      </c>
      <c r="AS198" s="437"/>
      <c r="AT198" s="437"/>
      <c r="AU198" s="437"/>
      <c r="AV198" s="437"/>
      <c r="AW198" s="94"/>
    </row>
    <row r="199" spans="1:49" ht="36" customHeight="1">
      <c r="A199" s="5">
        <v>235</v>
      </c>
      <c r="B199" s="625">
        <v>63</v>
      </c>
      <c r="C199" s="6" t="s">
        <v>20</v>
      </c>
      <c r="D199" s="371" t="s">
        <v>417</v>
      </c>
      <c r="E199" s="10" t="s">
        <v>1118</v>
      </c>
      <c r="F199" s="23" t="s">
        <v>1181</v>
      </c>
      <c r="G199" s="23"/>
      <c r="H199" s="603">
        <v>63500</v>
      </c>
      <c r="I199" s="50">
        <v>3</v>
      </c>
      <c r="J199" s="55">
        <v>0.1</v>
      </c>
      <c r="K199" s="49"/>
      <c r="L199" s="56"/>
      <c r="M199" s="61">
        <v>6.0000000000000036</v>
      </c>
      <c r="N199" s="62">
        <v>8</v>
      </c>
      <c r="O199" s="62">
        <v>4.0000000000000027</v>
      </c>
      <c r="P199" s="62">
        <v>8.0000000000000053</v>
      </c>
      <c r="Q199" s="62">
        <v>4.0000000000000027</v>
      </c>
      <c r="R199" s="62">
        <v>8.0000000000000053</v>
      </c>
      <c r="S199" s="62">
        <v>0</v>
      </c>
      <c r="T199" s="63">
        <v>8</v>
      </c>
      <c r="U199" s="66" t="e">
        <f t="shared" ca="1" si="101"/>
        <v>#DIV/0!</v>
      </c>
      <c r="V199" s="66">
        <f t="shared" ca="1" si="102"/>
        <v>0.1</v>
      </c>
      <c r="W199" s="70">
        <f t="shared" si="103"/>
        <v>0.94736842105263208</v>
      </c>
      <c r="X199" s="70">
        <f t="shared" si="104"/>
        <v>0.84210526315789469</v>
      </c>
      <c r="Y199" s="70">
        <f t="shared" si="105"/>
        <v>0.56140350877193024</v>
      </c>
      <c r="Z199" s="70">
        <f t="shared" si="106"/>
        <v>1.4035087719298256</v>
      </c>
      <c r="AA199" s="70">
        <f t="shared" si="107"/>
        <v>0.3508771929824564</v>
      </c>
      <c r="AB199" s="70">
        <f t="shared" si="108"/>
        <v>0.9824561403508778</v>
      </c>
      <c r="AC199" s="70">
        <f t="shared" si="109"/>
        <v>0</v>
      </c>
      <c r="AD199" s="71">
        <f t="shared" si="110"/>
        <v>0.84210526315789469</v>
      </c>
      <c r="AE199" s="72">
        <f t="shared" si="111"/>
        <v>0.7</v>
      </c>
      <c r="AF199" s="72">
        <f t="shared" ca="1" si="112"/>
        <v>0.9</v>
      </c>
      <c r="AG199" s="73">
        <f t="shared" ca="1" si="113"/>
        <v>0.76666666666666661</v>
      </c>
      <c r="AH199" s="456">
        <f t="shared" si="114"/>
        <v>5.9298245614035112</v>
      </c>
      <c r="AI199" s="467">
        <f t="shared" ca="1" si="115"/>
        <v>45.461988304093587</v>
      </c>
      <c r="AJ199" s="458" t="str">
        <f t="shared" ca="1" si="116"/>
        <v>Q2</v>
      </c>
      <c r="AK199" s="95" t="s">
        <v>1487</v>
      </c>
      <c r="AL199" s="573"/>
      <c r="AM199" s="117"/>
      <c r="AN199" s="113">
        <v>63500</v>
      </c>
      <c r="AO199" s="113"/>
      <c r="AP199" s="113"/>
      <c r="AQ199" s="121"/>
      <c r="AR199" s="436"/>
      <c r="AS199" s="437">
        <f>AN199*(1+Efactor)</f>
        <v>65722.5</v>
      </c>
      <c r="AT199" s="437"/>
      <c r="AU199" s="437"/>
      <c r="AV199" s="437"/>
      <c r="AW199" s="94"/>
    </row>
    <row r="200" spans="1:49" ht="36" customHeight="1">
      <c r="A200" s="5">
        <v>97</v>
      </c>
      <c r="B200" s="625">
        <v>73</v>
      </c>
      <c r="C200" s="6" t="s">
        <v>20</v>
      </c>
      <c r="D200" s="371" t="s">
        <v>417</v>
      </c>
      <c r="E200" s="18" t="s">
        <v>1119</v>
      </c>
      <c r="F200" s="20" t="s">
        <v>1117</v>
      </c>
      <c r="G200" s="20" t="s">
        <v>1120</v>
      </c>
      <c r="H200" s="604">
        <v>150000</v>
      </c>
      <c r="I200" s="50">
        <v>1</v>
      </c>
      <c r="J200" s="55">
        <v>0.1</v>
      </c>
      <c r="K200" s="49"/>
      <c r="L200" s="56"/>
      <c r="M200" s="61">
        <v>5</v>
      </c>
      <c r="N200" s="62">
        <v>6</v>
      </c>
      <c r="O200" s="62">
        <v>0</v>
      </c>
      <c r="P200" s="62">
        <v>8</v>
      </c>
      <c r="Q200" s="62">
        <v>0</v>
      </c>
      <c r="R200" s="62">
        <v>8</v>
      </c>
      <c r="S200" s="62">
        <v>0</v>
      </c>
      <c r="T200" s="63">
        <v>10</v>
      </c>
      <c r="U200" s="66" t="e">
        <f t="shared" ca="1" si="101"/>
        <v>#DIV/0!</v>
      </c>
      <c r="V200" s="66">
        <f t="shared" ca="1" si="102"/>
        <v>0.1</v>
      </c>
      <c r="W200" s="70">
        <f t="shared" si="103"/>
        <v>0.78947368421052633</v>
      </c>
      <c r="X200" s="70">
        <f t="shared" si="104"/>
        <v>0.63157894736842102</v>
      </c>
      <c r="Y200" s="70">
        <f t="shared" si="105"/>
        <v>0</v>
      </c>
      <c r="Z200" s="70">
        <f t="shared" si="106"/>
        <v>1.4035087719298245</v>
      </c>
      <c r="AA200" s="70">
        <f t="shared" si="107"/>
        <v>0</v>
      </c>
      <c r="AB200" s="70">
        <f t="shared" si="108"/>
        <v>0.98245614035087714</v>
      </c>
      <c r="AC200" s="70">
        <f t="shared" si="109"/>
        <v>0</v>
      </c>
      <c r="AD200" s="71">
        <f t="shared" si="110"/>
        <v>1.0526315789473684</v>
      </c>
      <c r="AE200" s="72">
        <f t="shared" si="111"/>
        <v>0.9</v>
      </c>
      <c r="AF200" s="72">
        <f t="shared" ca="1" si="112"/>
        <v>0.9</v>
      </c>
      <c r="AG200" s="73">
        <f t="shared" ca="1" si="113"/>
        <v>0.9</v>
      </c>
      <c r="AH200" s="456">
        <f t="shared" si="114"/>
        <v>4.8596491228070171</v>
      </c>
      <c r="AI200" s="467">
        <f t="shared" ca="1" si="115"/>
        <v>43.73684210526315</v>
      </c>
      <c r="AJ200" s="458" t="str">
        <f t="shared" ca="1" si="116"/>
        <v>Q2</v>
      </c>
      <c r="AK200" s="95" t="s">
        <v>1487</v>
      </c>
      <c r="AL200" s="572"/>
      <c r="AM200" s="117"/>
      <c r="AN200" s="113"/>
      <c r="AO200" s="113">
        <v>150000</v>
      </c>
      <c r="AP200" s="113"/>
      <c r="AQ200" s="121"/>
      <c r="AR200" s="436"/>
      <c r="AS200" s="437"/>
      <c r="AT200" s="437">
        <f>AO200*(1+Efactor)^2</f>
        <v>160683.74999999997</v>
      </c>
      <c r="AU200" s="437"/>
      <c r="AV200" s="437"/>
      <c r="AW200" s="94"/>
    </row>
    <row r="201" spans="1:49" s="228" customFormat="1" ht="36" customHeight="1">
      <c r="A201" s="5">
        <v>161</v>
      </c>
      <c r="B201" s="625">
        <v>79</v>
      </c>
      <c r="C201" s="6" t="s">
        <v>20</v>
      </c>
      <c r="D201" s="371" t="s">
        <v>417</v>
      </c>
      <c r="E201" s="10" t="s">
        <v>1118</v>
      </c>
      <c r="F201" s="23" t="s">
        <v>1181</v>
      </c>
      <c r="G201" s="23" t="s">
        <v>78</v>
      </c>
      <c r="H201" s="603">
        <v>63500</v>
      </c>
      <c r="I201" s="50">
        <v>3</v>
      </c>
      <c r="J201" s="55">
        <v>0.2</v>
      </c>
      <c r="K201" s="49"/>
      <c r="L201" s="56"/>
      <c r="M201" s="61">
        <v>6.0000000000000036</v>
      </c>
      <c r="N201" s="62">
        <v>8</v>
      </c>
      <c r="O201" s="62">
        <v>4.0000000000000027</v>
      </c>
      <c r="P201" s="62">
        <v>8.0000000000000053</v>
      </c>
      <c r="Q201" s="62">
        <v>4.0000000000000027</v>
      </c>
      <c r="R201" s="62">
        <v>8.0000000000000053</v>
      </c>
      <c r="S201" s="62">
        <v>0</v>
      </c>
      <c r="T201" s="63">
        <v>8</v>
      </c>
      <c r="U201" s="66" t="e">
        <f t="shared" ca="1" si="101"/>
        <v>#DIV/0!</v>
      </c>
      <c r="V201" s="66">
        <f t="shared" ca="1" si="102"/>
        <v>0.2</v>
      </c>
      <c r="W201" s="70">
        <f t="shared" si="103"/>
        <v>0.94736842105263208</v>
      </c>
      <c r="X201" s="70">
        <f t="shared" si="104"/>
        <v>0.84210526315789469</v>
      </c>
      <c r="Y201" s="70">
        <f t="shared" si="105"/>
        <v>0.56140350877193024</v>
      </c>
      <c r="Z201" s="70">
        <f t="shared" si="106"/>
        <v>1.4035087719298256</v>
      </c>
      <c r="AA201" s="70">
        <f t="shared" si="107"/>
        <v>0.3508771929824564</v>
      </c>
      <c r="AB201" s="70">
        <f t="shared" si="108"/>
        <v>0.9824561403508778</v>
      </c>
      <c r="AC201" s="70">
        <f t="shared" si="109"/>
        <v>0</v>
      </c>
      <c r="AD201" s="71">
        <f t="shared" si="110"/>
        <v>0.84210526315789469</v>
      </c>
      <c r="AE201" s="72">
        <f t="shared" si="111"/>
        <v>0.7</v>
      </c>
      <c r="AF201" s="72">
        <f t="shared" ca="1" si="112"/>
        <v>0.8</v>
      </c>
      <c r="AG201" s="73">
        <f t="shared" ca="1" si="113"/>
        <v>0.73333333333333339</v>
      </c>
      <c r="AH201" s="456">
        <f t="shared" si="114"/>
        <v>5.9298245614035112</v>
      </c>
      <c r="AI201" s="467">
        <f t="shared" ca="1" si="115"/>
        <v>43.485380116959085</v>
      </c>
      <c r="AJ201" s="458" t="str">
        <f t="shared" ca="1" si="116"/>
        <v>Q4</v>
      </c>
      <c r="AK201" s="95" t="s">
        <v>1487</v>
      </c>
      <c r="AL201" s="572"/>
      <c r="AM201" s="117"/>
      <c r="AN201" s="113"/>
      <c r="AO201" s="113"/>
      <c r="AP201" s="113">
        <v>63500</v>
      </c>
      <c r="AQ201" s="121"/>
      <c r="AR201" s="436"/>
      <c r="AS201" s="437"/>
      <c r="AT201" s="437"/>
      <c r="AU201" s="437">
        <f>AP201*(1+Efactor)^3</f>
        <v>70403.585062499988</v>
      </c>
      <c r="AV201" s="437"/>
      <c r="AW201" s="94"/>
    </row>
    <row r="202" spans="1:49" ht="36" customHeight="1">
      <c r="A202" s="1">
        <v>23</v>
      </c>
      <c r="B202" s="625">
        <v>93</v>
      </c>
      <c r="C202" s="2" t="s">
        <v>20</v>
      </c>
      <c r="D202" s="370" t="s">
        <v>417</v>
      </c>
      <c r="E202" s="441" t="s">
        <v>1118</v>
      </c>
      <c r="F202" s="677" t="s">
        <v>1181</v>
      </c>
      <c r="G202" s="677"/>
      <c r="H202" s="601">
        <v>63500</v>
      </c>
      <c r="I202" s="380">
        <v>3</v>
      </c>
      <c r="J202" s="377">
        <v>0.3</v>
      </c>
      <c r="K202" s="376"/>
      <c r="L202" s="378"/>
      <c r="M202" s="61">
        <v>6.0000000000000036</v>
      </c>
      <c r="N202" s="62">
        <v>8</v>
      </c>
      <c r="O202" s="62">
        <v>4.0000000000000027</v>
      </c>
      <c r="P202" s="62">
        <v>8.0000000000000053</v>
      </c>
      <c r="Q202" s="62">
        <v>2</v>
      </c>
      <c r="R202" s="62">
        <v>8.0000000000000053</v>
      </c>
      <c r="S202" s="62">
        <v>0</v>
      </c>
      <c r="T202" s="63">
        <v>8</v>
      </c>
      <c r="U202" s="379" t="e">
        <f t="shared" ca="1" si="101"/>
        <v>#DIV/0!</v>
      </c>
      <c r="V202" s="379">
        <f t="shared" ca="1" si="102"/>
        <v>0.3</v>
      </c>
      <c r="W202" s="70">
        <f t="shared" si="103"/>
        <v>0.94736842105263208</v>
      </c>
      <c r="X202" s="70">
        <f t="shared" si="104"/>
        <v>0.84210526315789469</v>
      </c>
      <c r="Y202" s="70">
        <f t="shared" si="105"/>
        <v>0.56140350877193024</v>
      </c>
      <c r="Z202" s="70">
        <f t="shared" si="106"/>
        <v>1.4035087719298256</v>
      </c>
      <c r="AA202" s="70">
        <f t="shared" si="107"/>
        <v>0.17543859649122806</v>
      </c>
      <c r="AB202" s="70">
        <f t="shared" si="108"/>
        <v>0.9824561403508778</v>
      </c>
      <c r="AC202" s="70">
        <f t="shared" si="109"/>
        <v>0</v>
      </c>
      <c r="AD202" s="71">
        <f t="shared" si="110"/>
        <v>0.84210526315789469</v>
      </c>
      <c r="AE202" s="72">
        <f t="shared" si="111"/>
        <v>0.7</v>
      </c>
      <c r="AF202" s="72">
        <f t="shared" ca="1" si="112"/>
        <v>0.7</v>
      </c>
      <c r="AG202" s="73">
        <f t="shared" ca="1" si="113"/>
        <v>0.69999999999999984</v>
      </c>
      <c r="AH202" s="455">
        <f t="shared" si="114"/>
        <v>5.7543859649122835</v>
      </c>
      <c r="AI202" s="466">
        <f t="shared" ca="1" si="115"/>
        <v>40.280701754385973</v>
      </c>
      <c r="AJ202" s="458" t="str">
        <f t="shared" ca="1" si="116"/>
        <v>Q4</v>
      </c>
      <c r="AK202" s="373" t="s">
        <v>1487</v>
      </c>
      <c r="AL202" s="111"/>
      <c r="AM202" s="117"/>
      <c r="AN202" s="113"/>
      <c r="AO202" s="113"/>
      <c r="AP202" s="113"/>
      <c r="AQ202" s="121">
        <v>63500</v>
      </c>
      <c r="AR202" s="436"/>
      <c r="AS202" s="437"/>
      <c r="AT202" s="437"/>
      <c r="AU202" s="437"/>
      <c r="AV202" s="437">
        <f>AQ202*(1+Efactor)^4</f>
        <v>72867.710539687483</v>
      </c>
      <c r="AW202" s="597" t="s">
        <v>412</v>
      </c>
    </row>
    <row r="203" spans="1:49" ht="36" customHeight="1">
      <c r="A203" s="5">
        <v>166</v>
      </c>
      <c r="B203" s="625">
        <v>126</v>
      </c>
      <c r="C203" s="6" t="s">
        <v>20</v>
      </c>
      <c r="D203" s="371" t="s">
        <v>417</v>
      </c>
      <c r="E203" s="10" t="s">
        <v>1118</v>
      </c>
      <c r="F203" s="23" t="s">
        <v>1473</v>
      </c>
      <c r="G203" s="23"/>
      <c r="H203" s="603">
        <v>63500</v>
      </c>
      <c r="I203" s="50">
        <v>3</v>
      </c>
      <c r="J203" s="55">
        <v>0.3</v>
      </c>
      <c r="K203" s="49"/>
      <c r="L203" s="56"/>
      <c r="M203" s="61">
        <v>6.0000000000000036</v>
      </c>
      <c r="N203" s="62">
        <v>8</v>
      </c>
      <c r="O203" s="62">
        <v>2</v>
      </c>
      <c r="P203" s="62">
        <v>8.0000000000000053</v>
      </c>
      <c r="Q203" s="62">
        <v>0</v>
      </c>
      <c r="R203" s="62">
        <v>8.0000000000000053</v>
      </c>
      <c r="S203" s="62">
        <v>0</v>
      </c>
      <c r="T203" s="63">
        <v>8</v>
      </c>
      <c r="U203" s="66" t="e">
        <f t="shared" ca="1" si="101"/>
        <v>#DIV/0!</v>
      </c>
      <c r="V203" s="66">
        <f t="shared" ca="1" si="102"/>
        <v>0.3</v>
      </c>
      <c r="W203" s="70">
        <f t="shared" si="103"/>
        <v>0.94736842105263208</v>
      </c>
      <c r="X203" s="70">
        <f t="shared" si="104"/>
        <v>0.84210526315789469</v>
      </c>
      <c r="Y203" s="70">
        <f t="shared" si="105"/>
        <v>0.2807017543859649</v>
      </c>
      <c r="Z203" s="70">
        <f t="shared" si="106"/>
        <v>1.4035087719298256</v>
      </c>
      <c r="AA203" s="70">
        <f t="shared" si="107"/>
        <v>0</v>
      </c>
      <c r="AB203" s="70">
        <f t="shared" si="108"/>
        <v>0.9824561403508778</v>
      </c>
      <c r="AC203" s="70">
        <f t="shared" si="109"/>
        <v>0</v>
      </c>
      <c r="AD203" s="71">
        <f t="shared" si="110"/>
        <v>0.84210526315789469</v>
      </c>
      <c r="AE203" s="72">
        <f t="shared" si="111"/>
        <v>0.7</v>
      </c>
      <c r="AF203" s="72">
        <f t="shared" ca="1" si="112"/>
        <v>0.7</v>
      </c>
      <c r="AG203" s="73">
        <f t="shared" ca="1" si="113"/>
        <v>0.69999999999999984</v>
      </c>
      <c r="AH203" s="456">
        <f t="shared" si="114"/>
        <v>5.2982456140350891</v>
      </c>
      <c r="AI203" s="467">
        <f t="shared" ca="1" si="115"/>
        <v>37.087719298245617</v>
      </c>
      <c r="AJ203" s="458" t="str">
        <f t="shared" ca="1" si="116"/>
        <v>Q4</v>
      </c>
      <c r="AK203" s="95" t="s">
        <v>1487</v>
      </c>
      <c r="AL203" s="573"/>
      <c r="AM203" s="117"/>
      <c r="AN203" s="113"/>
      <c r="AO203" s="113"/>
      <c r="AP203" s="113"/>
      <c r="AQ203" s="121"/>
      <c r="AR203" s="438"/>
      <c r="AS203" s="437"/>
      <c r="AT203" s="437"/>
      <c r="AU203" s="437"/>
      <c r="AV203" s="437"/>
      <c r="AW203" s="94"/>
    </row>
    <row r="204" spans="1:49" ht="36" customHeight="1">
      <c r="A204" s="5">
        <v>264</v>
      </c>
      <c r="B204" s="625">
        <v>159</v>
      </c>
      <c r="C204" s="6" t="s">
        <v>8</v>
      </c>
      <c r="D204" s="371" t="s">
        <v>7</v>
      </c>
      <c r="E204" s="18" t="s">
        <v>1403</v>
      </c>
      <c r="F204" s="19" t="s">
        <v>1399</v>
      </c>
      <c r="G204" s="20" t="s">
        <v>176</v>
      </c>
      <c r="H204" s="603">
        <v>110000</v>
      </c>
      <c r="I204" s="50">
        <v>2</v>
      </c>
      <c r="J204" s="55">
        <v>0.3</v>
      </c>
      <c r="K204" s="49"/>
      <c r="L204" s="56"/>
      <c r="M204" s="61">
        <v>4</v>
      </c>
      <c r="N204" s="62">
        <v>7</v>
      </c>
      <c r="O204" s="62">
        <v>1</v>
      </c>
      <c r="P204" s="62">
        <v>8.0000000000000053</v>
      </c>
      <c r="Q204" s="62">
        <v>1</v>
      </c>
      <c r="R204" s="62">
        <v>8.0000000000000053</v>
      </c>
      <c r="S204" s="62">
        <v>0</v>
      </c>
      <c r="T204" s="63">
        <v>6</v>
      </c>
      <c r="U204" s="66" t="e">
        <f t="shared" ca="1" si="101"/>
        <v>#DIV/0!</v>
      </c>
      <c r="V204" s="66">
        <f t="shared" ca="1" si="102"/>
        <v>0.3</v>
      </c>
      <c r="W204" s="70">
        <f t="shared" si="103"/>
        <v>0.63157894736842102</v>
      </c>
      <c r="X204" s="70">
        <f t="shared" si="104"/>
        <v>0.73684210526315785</v>
      </c>
      <c r="Y204" s="70">
        <f t="shared" si="105"/>
        <v>0.14035087719298245</v>
      </c>
      <c r="Z204" s="70">
        <f t="shared" si="106"/>
        <v>1.4035087719298256</v>
      </c>
      <c r="AA204" s="70">
        <f t="shared" si="107"/>
        <v>8.771929824561403E-2</v>
      </c>
      <c r="AB204" s="70">
        <f t="shared" si="108"/>
        <v>0.9824561403508778</v>
      </c>
      <c r="AC204" s="70">
        <f t="shared" si="109"/>
        <v>0</v>
      </c>
      <c r="AD204" s="71">
        <f t="shared" si="110"/>
        <v>0.63157894736842102</v>
      </c>
      <c r="AE204" s="72">
        <f t="shared" si="111"/>
        <v>0.8</v>
      </c>
      <c r="AF204" s="72">
        <f t="shared" ca="1" si="112"/>
        <v>0.7</v>
      </c>
      <c r="AG204" s="73">
        <f t="shared" ca="1" si="113"/>
        <v>0.76666666666666661</v>
      </c>
      <c r="AH204" s="456">
        <f t="shared" si="114"/>
        <v>4.6140350877192997</v>
      </c>
      <c r="AI204" s="467">
        <f t="shared" ca="1" si="115"/>
        <v>35.374269005847964</v>
      </c>
      <c r="AJ204" s="458" t="str">
        <f t="shared" ca="1" si="116"/>
        <v>Q2</v>
      </c>
      <c r="AK204" s="95" t="s">
        <v>1487</v>
      </c>
      <c r="AL204" s="572"/>
      <c r="AM204" s="117"/>
      <c r="AN204" s="113"/>
      <c r="AO204" s="119"/>
      <c r="AP204" s="119"/>
      <c r="AQ204" s="121"/>
      <c r="AR204" s="436"/>
      <c r="AS204" s="437"/>
      <c r="AT204" s="437"/>
      <c r="AU204" s="437"/>
      <c r="AV204" s="437"/>
      <c r="AW204" s="94"/>
    </row>
    <row r="205" spans="1:49" ht="36" customHeight="1">
      <c r="A205" s="5"/>
      <c r="B205" s="625">
        <v>175</v>
      </c>
      <c r="C205" s="6" t="s">
        <v>18</v>
      </c>
      <c r="D205" s="371" t="s">
        <v>7</v>
      </c>
      <c r="E205" s="18" t="s">
        <v>88</v>
      </c>
      <c r="F205" s="20" t="s">
        <v>1386</v>
      </c>
      <c r="G205" s="20" t="s">
        <v>89</v>
      </c>
      <c r="H205" s="603">
        <v>183500</v>
      </c>
      <c r="I205" s="50">
        <v>3</v>
      </c>
      <c r="J205" s="55">
        <v>0.3</v>
      </c>
      <c r="K205" s="49"/>
      <c r="L205" s="56"/>
      <c r="M205" s="61">
        <v>4.0000000000000027</v>
      </c>
      <c r="N205" s="62">
        <v>8.0000000000000053</v>
      </c>
      <c r="O205" s="62">
        <v>4</v>
      </c>
      <c r="P205" s="62">
        <v>6.0000000000000036</v>
      </c>
      <c r="Q205" s="62">
        <v>1</v>
      </c>
      <c r="R205" s="62">
        <v>8.0000000000000053</v>
      </c>
      <c r="S205" s="62">
        <v>0</v>
      </c>
      <c r="T205" s="63">
        <v>8.0000000000000053</v>
      </c>
      <c r="U205" s="66" t="e">
        <f t="shared" ca="1" si="101"/>
        <v>#DIV/0!</v>
      </c>
      <c r="V205" s="66">
        <f t="shared" ca="1" si="102"/>
        <v>0.3</v>
      </c>
      <c r="W205" s="70">
        <f t="shared" si="103"/>
        <v>0.63157894736842146</v>
      </c>
      <c r="X205" s="70">
        <f t="shared" si="104"/>
        <v>0.84210526315789525</v>
      </c>
      <c r="Y205" s="70">
        <f t="shared" si="105"/>
        <v>0.56140350877192979</v>
      </c>
      <c r="Z205" s="70">
        <f t="shared" si="106"/>
        <v>1.052631578947369</v>
      </c>
      <c r="AA205" s="70">
        <f t="shared" si="107"/>
        <v>8.771929824561403E-2</v>
      </c>
      <c r="AB205" s="70">
        <f t="shared" si="108"/>
        <v>0.9824561403508778</v>
      </c>
      <c r="AC205" s="70">
        <f t="shared" si="109"/>
        <v>0</v>
      </c>
      <c r="AD205" s="71">
        <f t="shared" si="110"/>
        <v>0.84210526315789525</v>
      </c>
      <c r="AE205" s="72">
        <f t="shared" si="111"/>
        <v>0.7</v>
      </c>
      <c r="AF205" s="72">
        <f t="shared" ca="1" si="112"/>
        <v>0.7</v>
      </c>
      <c r="AG205" s="73">
        <f t="shared" ca="1" si="113"/>
        <v>0.69999999999999984</v>
      </c>
      <c r="AH205" s="456">
        <f t="shared" si="114"/>
        <v>5.0000000000000027</v>
      </c>
      <c r="AI205" s="467">
        <f t="shared" ca="1" si="115"/>
        <v>35.000000000000007</v>
      </c>
      <c r="AJ205" s="458" t="str">
        <f t="shared" ca="1" si="116"/>
        <v>Q4</v>
      </c>
      <c r="AK205" s="95" t="s">
        <v>1487</v>
      </c>
      <c r="AL205" s="572"/>
      <c r="AM205" s="117"/>
      <c r="AN205" s="113"/>
      <c r="AO205" s="113"/>
      <c r="AP205" s="113"/>
      <c r="AQ205" s="121"/>
      <c r="AR205" s="436"/>
      <c r="AS205" s="437"/>
      <c r="AT205" s="437"/>
      <c r="AU205" s="437"/>
      <c r="AV205" s="437"/>
      <c r="AW205" s="94"/>
    </row>
    <row r="206" spans="1:49" ht="36" customHeight="1">
      <c r="A206" s="5">
        <v>173</v>
      </c>
      <c r="B206" s="625">
        <v>259</v>
      </c>
      <c r="C206" s="6" t="s">
        <v>18</v>
      </c>
      <c r="D206" s="371" t="s">
        <v>7</v>
      </c>
      <c r="E206" s="18" t="s">
        <v>1375</v>
      </c>
      <c r="F206" s="19" t="s">
        <v>171</v>
      </c>
      <c r="G206" s="20" t="s">
        <v>172</v>
      </c>
      <c r="H206" s="603">
        <v>86000</v>
      </c>
      <c r="I206" s="50">
        <v>4</v>
      </c>
      <c r="J206" s="55">
        <v>0.4</v>
      </c>
      <c r="K206" s="49"/>
      <c r="L206" s="56"/>
      <c r="M206" s="61">
        <v>4</v>
      </c>
      <c r="N206" s="62">
        <v>8.0000000000000053</v>
      </c>
      <c r="O206" s="62">
        <v>4</v>
      </c>
      <c r="P206" s="62">
        <v>6.0000000000000036</v>
      </c>
      <c r="Q206" s="62">
        <v>1</v>
      </c>
      <c r="R206" s="62">
        <v>8.0000000000000053</v>
      </c>
      <c r="S206" s="62">
        <v>0</v>
      </c>
      <c r="T206" s="63">
        <v>8.0000000000000053</v>
      </c>
      <c r="U206" s="66" t="e">
        <f t="shared" ca="1" si="101"/>
        <v>#DIV/0!</v>
      </c>
      <c r="V206" s="66">
        <f t="shared" ca="1" si="102"/>
        <v>0.4</v>
      </c>
      <c r="W206" s="70">
        <f t="shared" si="103"/>
        <v>0.63157894736842102</v>
      </c>
      <c r="X206" s="70">
        <f t="shared" si="104"/>
        <v>0.84210526315789525</v>
      </c>
      <c r="Y206" s="70">
        <f t="shared" si="105"/>
        <v>0.56140350877192979</v>
      </c>
      <c r="Z206" s="70">
        <f t="shared" si="106"/>
        <v>1.052631578947369</v>
      </c>
      <c r="AA206" s="70">
        <f t="shared" si="107"/>
        <v>8.771929824561403E-2</v>
      </c>
      <c r="AB206" s="70">
        <f t="shared" si="108"/>
        <v>0.9824561403508778</v>
      </c>
      <c r="AC206" s="70">
        <f t="shared" si="109"/>
        <v>0</v>
      </c>
      <c r="AD206" s="71">
        <f t="shared" si="110"/>
        <v>0.84210526315789525</v>
      </c>
      <c r="AE206" s="72">
        <f t="shared" si="111"/>
        <v>0.6</v>
      </c>
      <c r="AF206" s="72">
        <f t="shared" ca="1" si="112"/>
        <v>0.6</v>
      </c>
      <c r="AG206" s="73">
        <f t="shared" ca="1" si="113"/>
        <v>0.6</v>
      </c>
      <c r="AH206" s="456">
        <f t="shared" si="114"/>
        <v>5.0000000000000027</v>
      </c>
      <c r="AI206" s="467">
        <f t="shared" ca="1" si="115"/>
        <v>30.000000000000014</v>
      </c>
      <c r="AJ206" s="458" t="str">
        <f t="shared" ca="1" si="116"/>
        <v>Q4</v>
      </c>
      <c r="AK206" s="95" t="s">
        <v>1487</v>
      </c>
      <c r="AL206" s="573"/>
      <c r="AM206" s="117"/>
      <c r="AN206" s="113"/>
      <c r="AO206" s="113"/>
      <c r="AP206" s="113"/>
      <c r="AQ206" s="121"/>
      <c r="AR206" s="436"/>
      <c r="AS206" s="437"/>
      <c r="AT206" s="437"/>
      <c r="AU206" s="437"/>
      <c r="AV206" s="437"/>
      <c r="AW206" s="94"/>
    </row>
    <row r="207" spans="1:49" ht="36" customHeight="1">
      <c r="A207" s="5">
        <v>223</v>
      </c>
      <c r="B207" s="625">
        <v>260</v>
      </c>
      <c r="C207" s="6" t="s">
        <v>53</v>
      </c>
      <c r="D207" s="371" t="s">
        <v>7</v>
      </c>
      <c r="E207" s="18" t="s">
        <v>1390</v>
      </c>
      <c r="F207" s="20" t="s">
        <v>1391</v>
      </c>
      <c r="G207" s="20" t="s">
        <v>177</v>
      </c>
      <c r="H207" s="603">
        <v>83500</v>
      </c>
      <c r="I207" s="50">
        <v>3</v>
      </c>
      <c r="J207" s="55">
        <v>0.3</v>
      </c>
      <c r="K207" s="49"/>
      <c r="L207" s="56"/>
      <c r="M207" s="61">
        <v>2</v>
      </c>
      <c r="N207" s="62">
        <v>8</v>
      </c>
      <c r="O207" s="62">
        <v>1</v>
      </c>
      <c r="P207" s="62">
        <v>8.0000000000000053</v>
      </c>
      <c r="Q207" s="62">
        <v>0</v>
      </c>
      <c r="R207" s="62">
        <v>6</v>
      </c>
      <c r="S207" s="62">
        <v>0</v>
      </c>
      <c r="T207" s="63">
        <v>8.0000000000000053</v>
      </c>
      <c r="U207" s="66" t="e">
        <f t="shared" ca="1" si="101"/>
        <v>#DIV/0!</v>
      </c>
      <c r="V207" s="66">
        <f t="shared" ca="1" si="102"/>
        <v>0.3</v>
      </c>
      <c r="W207" s="70">
        <f t="shared" si="103"/>
        <v>0.31578947368421051</v>
      </c>
      <c r="X207" s="70">
        <f t="shared" si="104"/>
        <v>0.84210526315789469</v>
      </c>
      <c r="Y207" s="70">
        <f t="shared" si="105"/>
        <v>0.14035087719298245</v>
      </c>
      <c r="Z207" s="70">
        <f t="shared" si="106"/>
        <v>1.4035087719298256</v>
      </c>
      <c r="AA207" s="70">
        <f t="shared" si="107"/>
        <v>0</v>
      </c>
      <c r="AB207" s="70">
        <f t="shared" si="108"/>
        <v>0.73684210526315785</v>
      </c>
      <c r="AC207" s="70">
        <f t="shared" si="109"/>
        <v>0</v>
      </c>
      <c r="AD207" s="71">
        <f t="shared" si="110"/>
        <v>0.84210526315789525</v>
      </c>
      <c r="AE207" s="72">
        <f t="shared" si="111"/>
        <v>0.7</v>
      </c>
      <c r="AF207" s="72">
        <f t="shared" ca="1" si="112"/>
        <v>0.7</v>
      </c>
      <c r="AG207" s="73">
        <f t="shared" ca="1" si="113"/>
        <v>0.69999999999999984</v>
      </c>
      <c r="AH207" s="456">
        <f t="shared" si="114"/>
        <v>4.2807017543859667</v>
      </c>
      <c r="AI207" s="467">
        <f t="shared" ca="1" si="115"/>
        <v>29.96491228070176</v>
      </c>
      <c r="AJ207" s="458" t="str">
        <f t="shared" ca="1" si="116"/>
        <v>Q4</v>
      </c>
      <c r="AK207" s="95" t="s">
        <v>1487</v>
      </c>
      <c r="AL207" s="572"/>
      <c r="AM207" s="117"/>
      <c r="AN207" s="113"/>
      <c r="AO207" s="113"/>
      <c r="AP207" s="113"/>
      <c r="AQ207" s="121"/>
      <c r="AR207" s="438"/>
      <c r="AS207" s="437"/>
      <c r="AT207" s="437"/>
      <c r="AU207" s="437"/>
      <c r="AV207" s="437"/>
      <c r="AW207" s="94"/>
    </row>
    <row r="208" spans="1:49" ht="36" customHeight="1">
      <c r="A208" s="5">
        <v>225</v>
      </c>
      <c r="B208" s="625">
        <v>267</v>
      </c>
      <c r="C208" s="6" t="s">
        <v>53</v>
      </c>
      <c r="D208" s="371" t="s">
        <v>7</v>
      </c>
      <c r="E208" s="18" t="s">
        <v>173</v>
      </c>
      <c r="F208" s="20" t="s">
        <v>174</v>
      </c>
      <c r="G208" s="20" t="s">
        <v>175</v>
      </c>
      <c r="H208" s="603">
        <v>80000</v>
      </c>
      <c r="I208" s="50">
        <v>3</v>
      </c>
      <c r="J208" s="55">
        <v>0.3</v>
      </c>
      <c r="K208" s="49"/>
      <c r="L208" s="56"/>
      <c r="M208" s="61">
        <v>1</v>
      </c>
      <c r="N208" s="62">
        <v>8.0000000000000053</v>
      </c>
      <c r="O208" s="62">
        <v>1</v>
      </c>
      <c r="P208" s="62">
        <v>8.0000000000000053</v>
      </c>
      <c r="Q208" s="62">
        <v>0</v>
      </c>
      <c r="R208" s="62">
        <v>6</v>
      </c>
      <c r="S208" s="62">
        <v>0</v>
      </c>
      <c r="T208" s="63">
        <v>8.0000000000000053</v>
      </c>
      <c r="U208" s="66" t="e">
        <f t="shared" ca="1" si="101"/>
        <v>#DIV/0!</v>
      </c>
      <c r="V208" s="66">
        <f t="shared" ca="1" si="102"/>
        <v>0.3</v>
      </c>
      <c r="W208" s="70">
        <f t="shared" si="103"/>
        <v>0.15789473684210525</v>
      </c>
      <c r="X208" s="70">
        <f t="shared" si="104"/>
        <v>0.84210526315789525</v>
      </c>
      <c r="Y208" s="70">
        <f t="shared" si="105"/>
        <v>0.14035087719298245</v>
      </c>
      <c r="Z208" s="70">
        <f t="shared" si="106"/>
        <v>1.4035087719298256</v>
      </c>
      <c r="AA208" s="70">
        <f t="shared" si="107"/>
        <v>0</v>
      </c>
      <c r="AB208" s="70">
        <f t="shared" si="108"/>
        <v>0.73684210526315785</v>
      </c>
      <c r="AC208" s="70">
        <f t="shared" si="109"/>
        <v>0</v>
      </c>
      <c r="AD208" s="71">
        <f t="shared" si="110"/>
        <v>0.84210526315789525</v>
      </c>
      <c r="AE208" s="72">
        <f t="shared" si="111"/>
        <v>0.7</v>
      </c>
      <c r="AF208" s="72">
        <f t="shared" ca="1" si="112"/>
        <v>0.7</v>
      </c>
      <c r="AG208" s="73">
        <f t="shared" ca="1" si="113"/>
        <v>0.69999999999999984</v>
      </c>
      <c r="AH208" s="456">
        <f t="shared" si="114"/>
        <v>4.1228070175438614</v>
      </c>
      <c r="AI208" s="467">
        <f t="shared" ca="1" si="115"/>
        <v>28.859649122807024</v>
      </c>
      <c r="AJ208" s="458" t="str">
        <f t="shared" ca="1" si="116"/>
        <v>Q4</v>
      </c>
      <c r="AK208" s="95" t="s">
        <v>1487</v>
      </c>
      <c r="AL208" s="572"/>
      <c r="AM208" s="117"/>
      <c r="AN208" s="113"/>
      <c r="AO208" s="113"/>
      <c r="AP208" s="113"/>
      <c r="AQ208" s="121"/>
      <c r="AR208" s="436"/>
      <c r="AS208" s="437"/>
      <c r="AT208" s="437"/>
      <c r="AU208" s="437"/>
      <c r="AV208" s="437"/>
      <c r="AW208" s="94"/>
    </row>
    <row r="209" spans="1:49" ht="36" customHeight="1">
      <c r="A209" s="5">
        <v>248</v>
      </c>
      <c r="B209" s="625">
        <v>299</v>
      </c>
      <c r="C209" s="6" t="s">
        <v>8</v>
      </c>
      <c r="D209" s="371" t="s">
        <v>7</v>
      </c>
      <c r="E209" s="18" t="s">
        <v>333</v>
      </c>
      <c r="F209" s="20" t="s">
        <v>1380</v>
      </c>
      <c r="G209" s="20" t="s">
        <v>334</v>
      </c>
      <c r="H209" s="603">
        <v>204000</v>
      </c>
      <c r="I209" s="50">
        <v>3</v>
      </c>
      <c r="J209" s="55">
        <v>0.3</v>
      </c>
      <c r="K209" s="49"/>
      <c r="L209" s="56"/>
      <c r="M209" s="61">
        <v>2</v>
      </c>
      <c r="N209" s="62">
        <v>4.0000000000000027</v>
      </c>
      <c r="O209" s="62">
        <v>2</v>
      </c>
      <c r="P209" s="62">
        <v>8.0000000000000053</v>
      </c>
      <c r="Q209" s="62">
        <v>1</v>
      </c>
      <c r="R209" s="62">
        <v>4.0000000000000027</v>
      </c>
      <c r="S209" s="62">
        <v>0</v>
      </c>
      <c r="T209" s="63">
        <v>4</v>
      </c>
      <c r="U209" s="66" t="e">
        <f t="shared" ca="1" si="101"/>
        <v>#DIV/0!</v>
      </c>
      <c r="V209" s="66">
        <f t="shared" ca="1" si="102"/>
        <v>0.3</v>
      </c>
      <c r="W209" s="70">
        <f t="shared" si="103"/>
        <v>0.31578947368421051</v>
      </c>
      <c r="X209" s="70">
        <f t="shared" si="104"/>
        <v>0.42105263157894762</v>
      </c>
      <c r="Y209" s="70">
        <f t="shared" si="105"/>
        <v>0.2807017543859649</v>
      </c>
      <c r="Z209" s="70">
        <f t="shared" si="106"/>
        <v>1.4035087719298256</v>
      </c>
      <c r="AA209" s="70">
        <f t="shared" si="107"/>
        <v>8.771929824561403E-2</v>
      </c>
      <c r="AB209" s="70">
        <f t="shared" si="108"/>
        <v>0.4912280701754389</v>
      </c>
      <c r="AC209" s="70">
        <f t="shared" si="109"/>
        <v>0</v>
      </c>
      <c r="AD209" s="71">
        <f t="shared" si="110"/>
        <v>0.42105263157894735</v>
      </c>
      <c r="AE209" s="72">
        <f t="shared" si="111"/>
        <v>0.7</v>
      </c>
      <c r="AF209" s="72">
        <f t="shared" ca="1" si="112"/>
        <v>0.7</v>
      </c>
      <c r="AG209" s="73">
        <f t="shared" ca="1" si="113"/>
        <v>0.69999999999999984</v>
      </c>
      <c r="AH209" s="456">
        <f t="shared" si="114"/>
        <v>3.4210526315789487</v>
      </c>
      <c r="AI209" s="467">
        <f t="shared" ca="1" si="115"/>
        <v>23.947368421052637</v>
      </c>
      <c r="AJ209" s="458" t="str">
        <f t="shared" ca="1" si="116"/>
        <v>Q4</v>
      </c>
      <c r="AK209" s="95" t="s">
        <v>1487</v>
      </c>
      <c r="AL209" s="572"/>
      <c r="AM209" s="117"/>
      <c r="AN209" s="113"/>
      <c r="AO209" s="113"/>
      <c r="AP209" s="113"/>
      <c r="AQ209" s="121"/>
      <c r="AR209" s="436"/>
      <c r="AS209" s="437"/>
      <c r="AT209" s="437"/>
      <c r="AU209" s="437"/>
      <c r="AV209" s="437"/>
      <c r="AW209" s="94"/>
    </row>
    <row r="210" spans="1:49" ht="36" customHeight="1">
      <c r="A210" s="5">
        <v>253</v>
      </c>
      <c r="B210" s="625">
        <v>307</v>
      </c>
      <c r="C210" s="6" t="s">
        <v>8</v>
      </c>
      <c r="D210" s="371" t="s">
        <v>7</v>
      </c>
      <c r="E210" s="18" t="s">
        <v>1340</v>
      </c>
      <c r="F210" s="20" t="s">
        <v>1515</v>
      </c>
      <c r="G210" s="20" t="s">
        <v>332</v>
      </c>
      <c r="H210" s="603">
        <v>265000</v>
      </c>
      <c r="I210" s="50">
        <v>2</v>
      </c>
      <c r="J210" s="55">
        <v>0.1</v>
      </c>
      <c r="K210" s="49"/>
      <c r="L210" s="56"/>
      <c r="M210" s="61">
        <v>1</v>
      </c>
      <c r="N210" s="62">
        <v>4.0000000000000027</v>
      </c>
      <c r="O210" s="62">
        <v>1</v>
      </c>
      <c r="P210" s="62">
        <v>7</v>
      </c>
      <c r="Q210" s="62">
        <v>1</v>
      </c>
      <c r="R210" s="62">
        <v>4.0000000000000027</v>
      </c>
      <c r="S210" s="62">
        <v>0</v>
      </c>
      <c r="T210" s="63">
        <v>1</v>
      </c>
      <c r="U210" s="66" t="e">
        <f t="shared" ca="1" si="101"/>
        <v>#DIV/0!</v>
      </c>
      <c r="V210" s="66">
        <f t="shared" ca="1" si="102"/>
        <v>0.1</v>
      </c>
      <c r="W210" s="70">
        <f t="shared" si="103"/>
        <v>0.15789473684210525</v>
      </c>
      <c r="X210" s="70">
        <f t="shared" si="104"/>
        <v>0.42105263157894762</v>
      </c>
      <c r="Y210" s="70">
        <f t="shared" si="105"/>
        <v>0.14035087719298245</v>
      </c>
      <c r="Z210" s="70">
        <f t="shared" si="106"/>
        <v>1.2280701754385965</v>
      </c>
      <c r="AA210" s="70">
        <f t="shared" si="107"/>
        <v>8.771929824561403E-2</v>
      </c>
      <c r="AB210" s="70">
        <f t="shared" si="108"/>
        <v>0.4912280701754389</v>
      </c>
      <c r="AC210" s="70">
        <f t="shared" si="109"/>
        <v>0</v>
      </c>
      <c r="AD210" s="71">
        <f t="shared" si="110"/>
        <v>0.10526315789473684</v>
      </c>
      <c r="AE210" s="72">
        <f t="shared" si="111"/>
        <v>0.8</v>
      </c>
      <c r="AF210" s="72">
        <f t="shared" ca="1" si="112"/>
        <v>0.9</v>
      </c>
      <c r="AG210" s="73">
        <f t="shared" ca="1" si="113"/>
        <v>0.83333333333333337</v>
      </c>
      <c r="AH210" s="456">
        <f t="shared" si="114"/>
        <v>2.6315789473684212</v>
      </c>
      <c r="AI210" s="467">
        <f t="shared" ca="1" si="115"/>
        <v>21.92982456140351</v>
      </c>
      <c r="AJ210" s="458" t="str">
        <f t="shared" ca="1" si="116"/>
        <v>Q2</v>
      </c>
      <c r="AK210" s="95" t="s">
        <v>1487</v>
      </c>
      <c r="AL210" s="572"/>
      <c r="AM210" s="117"/>
      <c r="AN210" s="113"/>
      <c r="AO210" s="113"/>
      <c r="AP210" s="113"/>
      <c r="AQ210" s="121"/>
      <c r="AR210" s="436"/>
      <c r="AS210" s="437"/>
      <c r="AT210" s="437"/>
      <c r="AU210" s="437"/>
      <c r="AV210" s="437"/>
      <c r="AW210" s="94"/>
    </row>
    <row r="211" spans="1:49" ht="36" customHeight="1">
      <c r="A211" s="5"/>
      <c r="B211" s="743" t="s">
        <v>1563</v>
      </c>
      <c r="C211" s="744"/>
      <c r="D211" s="744"/>
      <c r="E211" s="744"/>
      <c r="F211" s="745"/>
      <c r="G211" s="20"/>
      <c r="H211" s="603"/>
      <c r="I211" s="50"/>
      <c r="J211" s="55"/>
      <c r="K211" s="49"/>
      <c r="L211" s="56"/>
      <c r="M211" s="61"/>
      <c r="N211" s="62"/>
      <c r="O211" s="62"/>
      <c r="P211" s="62"/>
      <c r="Q211" s="62"/>
      <c r="R211" s="62"/>
      <c r="S211" s="62"/>
      <c r="T211" s="63"/>
      <c r="U211" s="66"/>
      <c r="V211" s="66"/>
      <c r="W211" s="70"/>
      <c r="X211" s="70"/>
      <c r="Y211" s="70"/>
      <c r="Z211" s="70"/>
      <c r="AA211" s="70"/>
      <c r="AB211" s="70"/>
      <c r="AC211" s="70"/>
      <c r="AD211" s="71"/>
      <c r="AE211" s="72"/>
      <c r="AF211" s="72"/>
      <c r="AG211" s="73"/>
      <c r="AH211" s="456"/>
      <c r="AI211" s="467"/>
      <c r="AJ211" s="458"/>
      <c r="AK211" s="95"/>
      <c r="AL211" s="572"/>
      <c r="AM211" s="117"/>
      <c r="AN211" s="113"/>
      <c r="AO211" s="113"/>
      <c r="AP211" s="113"/>
      <c r="AQ211" s="121"/>
      <c r="AR211" s="436"/>
      <c r="AS211" s="437"/>
      <c r="AT211" s="437"/>
      <c r="AU211" s="437"/>
      <c r="AV211" s="437"/>
      <c r="AW211" s="94"/>
    </row>
    <row r="212" spans="1:49" s="163" customFormat="1" ht="36" customHeight="1">
      <c r="A212" s="5">
        <v>256</v>
      </c>
      <c r="B212" s="625">
        <v>12</v>
      </c>
      <c r="C212" s="6" t="s">
        <v>20</v>
      </c>
      <c r="D212" s="371" t="s">
        <v>417</v>
      </c>
      <c r="E212" s="15" t="s">
        <v>1527</v>
      </c>
      <c r="F212" s="30" t="s">
        <v>1526</v>
      </c>
      <c r="G212" s="130"/>
      <c r="H212" s="606">
        <v>3291924</v>
      </c>
      <c r="I212" s="50">
        <v>2</v>
      </c>
      <c r="J212" s="55">
        <v>0.1</v>
      </c>
      <c r="K212" s="49"/>
      <c r="L212" s="56"/>
      <c r="M212" s="408">
        <v>8</v>
      </c>
      <c r="N212" s="409">
        <v>8</v>
      </c>
      <c r="O212" s="409">
        <v>2</v>
      </c>
      <c r="P212" s="409">
        <v>6.0000000000000036</v>
      </c>
      <c r="Q212" s="409">
        <v>4</v>
      </c>
      <c r="R212" s="409">
        <v>9</v>
      </c>
      <c r="S212" s="409">
        <v>0</v>
      </c>
      <c r="T212" s="410">
        <v>10</v>
      </c>
      <c r="U212" s="66" t="e">
        <f t="shared" ref="U212:U231" ca="1" si="117">(L212-(YEAR(TODAY())-K212))/L212</f>
        <v>#DIV/0!</v>
      </c>
      <c r="V212" s="66">
        <f t="shared" ref="V212:V231" ca="1" si="118">IFERROR(U212,J212)</f>
        <v>0.1</v>
      </c>
      <c r="W212" s="411">
        <f t="shared" ref="W212:W231" si="119">M212*Weight1/(WSum)</f>
        <v>1.263157894736842</v>
      </c>
      <c r="X212" s="411">
        <f t="shared" ref="X212:X231" si="120">N212*Weight2/(WSum)</f>
        <v>0.84210526315789469</v>
      </c>
      <c r="Y212" s="411">
        <f t="shared" ref="Y212:Y231" si="121">O212*Weight3/(WSum)</f>
        <v>0.2807017543859649</v>
      </c>
      <c r="Z212" s="411">
        <f t="shared" ref="Z212:Z231" si="122">P212*Weight4/(WSum)</f>
        <v>1.052631578947369</v>
      </c>
      <c r="AA212" s="411">
        <f t="shared" ref="AA212:AA231" si="123">Q212*Weight5/(WSum)</f>
        <v>0.35087719298245612</v>
      </c>
      <c r="AB212" s="411">
        <f t="shared" ref="AB212:AB231" si="124">R212*Weight6/(WSum)</f>
        <v>1.1052631578947369</v>
      </c>
      <c r="AC212" s="411">
        <f t="shared" ref="AC212:AC231" si="125">S212*Weight7/(WSum)</f>
        <v>0</v>
      </c>
      <c r="AD212" s="412">
        <f t="shared" ref="AD212:AD231" si="126">T212*Weight8/(WSum)</f>
        <v>1.0526315789473684</v>
      </c>
      <c r="AE212" s="413">
        <f t="shared" ref="AE212:AE231" si="127">-1/10*I212+1</f>
        <v>0.8</v>
      </c>
      <c r="AF212" s="413">
        <f t="shared" ref="AF212:AF231" ca="1" si="128">IF(V212&lt;0,0,-V212+1)</f>
        <v>0.9</v>
      </c>
      <c r="AG212" s="414">
        <f t="shared" ref="AG212:AG231" ca="1" si="129">(AE212*CondWeight+AF212*PLifeWeight)/(CondWeight+PLifeWeight)</f>
        <v>0.83333333333333337</v>
      </c>
      <c r="AH212" s="456">
        <f t="shared" ref="AH212:AH231" si="130">SUM(W212:AD212)</f>
        <v>5.9473684210526319</v>
      </c>
      <c r="AI212" s="467">
        <f t="shared" ref="AI212:AI231" ca="1" si="131">AH212*AG212*10</f>
        <v>49.561403508771932</v>
      </c>
      <c r="AJ212" s="459" t="str">
        <f t="shared" ref="AJ212:AJ231" ca="1" si="132">IF(AG212&gt;$AG$2,IF(AH212&gt;$AH$2,"Q1","Q2"),IF(AH212&gt;$AH$2,"Q3","Q4"))</f>
        <v>Q2</v>
      </c>
      <c r="AK212" s="95" t="s">
        <v>1116</v>
      </c>
      <c r="AL212" s="573"/>
      <c r="AM212" s="689">
        <v>3293924</v>
      </c>
      <c r="AN212" s="691"/>
      <c r="AO212" s="691"/>
      <c r="AP212" s="691"/>
      <c r="AQ212" s="594"/>
      <c r="AR212" s="438">
        <v>3291924</v>
      </c>
      <c r="AS212" s="439"/>
      <c r="AT212" s="439"/>
      <c r="AU212" s="439"/>
      <c r="AV212" s="439"/>
      <c r="AW212" s="94"/>
    </row>
    <row r="213" spans="1:49" s="163" customFormat="1" ht="36" customHeight="1">
      <c r="A213" s="5">
        <v>296</v>
      </c>
      <c r="B213" s="625">
        <v>16</v>
      </c>
      <c r="C213" s="14" t="s">
        <v>20</v>
      </c>
      <c r="D213" s="442" t="s">
        <v>417</v>
      </c>
      <c r="E213" s="10" t="s">
        <v>1152</v>
      </c>
      <c r="F213" s="23" t="s">
        <v>1179</v>
      </c>
      <c r="G213" s="23" t="s">
        <v>1153</v>
      </c>
      <c r="H213" s="600">
        <v>400000</v>
      </c>
      <c r="I213" s="50">
        <v>2</v>
      </c>
      <c r="J213" s="55">
        <v>0</v>
      </c>
      <c r="K213" s="49"/>
      <c r="L213" s="56"/>
      <c r="M213" s="408">
        <v>5</v>
      </c>
      <c r="N213" s="409">
        <v>8</v>
      </c>
      <c r="O213" s="409">
        <v>4</v>
      </c>
      <c r="P213" s="409">
        <v>8</v>
      </c>
      <c r="Q213" s="409">
        <v>7</v>
      </c>
      <c r="R213" s="409">
        <v>5</v>
      </c>
      <c r="S213" s="409">
        <v>0</v>
      </c>
      <c r="T213" s="410">
        <v>8</v>
      </c>
      <c r="U213" s="66" t="e">
        <f t="shared" ca="1" si="117"/>
        <v>#DIV/0!</v>
      </c>
      <c r="V213" s="66">
        <f t="shared" ca="1" si="118"/>
        <v>0</v>
      </c>
      <c r="W213" s="411">
        <f t="shared" si="119"/>
        <v>0.78947368421052633</v>
      </c>
      <c r="X213" s="411">
        <f t="shared" si="120"/>
        <v>0.84210526315789469</v>
      </c>
      <c r="Y213" s="411">
        <f t="shared" si="121"/>
        <v>0.56140350877192979</v>
      </c>
      <c r="Z213" s="411">
        <f t="shared" si="122"/>
        <v>1.4035087719298245</v>
      </c>
      <c r="AA213" s="411">
        <f t="shared" si="123"/>
        <v>0.61403508771929827</v>
      </c>
      <c r="AB213" s="411">
        <f t="shared" si="124"/>
        <v>0.61403508771929827</v>
      </c>
      <c r="AC213" s="411">
        <f t="shared" si="125"/>
        <v>0</v>
      </c>
      <c r="AD213" s="412">
        <f t="shared" si="126"/>
        <v>0.84210526315789469</v>
      </c>
      <c r="AE213" s="413">
        <f t="shared" si="127"/>
        <v>0.8</v>
      </c>
      <c r="AF213" s="413">
        <f t="shared" ca="1" si="128"/>
        <v>1</v>
      </c>
      <c r="AG213" s="414">
        <f t="shared" ca="1" si="129"/>
        <v>0.8666666666666667</v>
      </c>
      <c r="AH213" s="456">
        <f t="shared" si="130"/>
        <v>5.6666666666666661</v>
      </c>
      <c r="AI213" s="467">
        <f t="shared" ca="1" si="131"/>
        <v>49.111111111111107</v>
      </c>
      <c r="AJ213" s="459" t="str">
        <f t="shared" ca="1" si="132"/>
        <v>Q2</v>
      </c>
      <c r="AK213" s="95" t="s">
        <v>1116</v>
      </c>
      <c r="AL213" s="570"/>
      <c r="AM213" s="118">
        <v>400000</v>
      </c>
      <c r="AN213" s="119"/>
      <c r="AO213" s="119"/>
      <c r="AP213" s="119"/>
      <c r="AQ213" s="586"/>
      <c r="AR213" s="438">
        <f>AM213</f>
        <v>400000</v>
      </c>
      <c r="AS213" s="439"/>
      <c r="AT213" s="439"/>
      <c r="AU213" s="439"/>
      <c r="AV213" s="439"/>
      <c r="AW213" s="94"/>
    </row>
    <row r="214" spans="1:49" ht="36" customHeight="1">
      <c r="A214" s="5"/>
      <c r="B214" s="625">
        <v>23</v>
      </c>
      <c r="C214" s="669" t="s">
        <v>20</v>
      </c>
      <c r="D214" s="665"/>
      <c r="E214" s="10" t="s">
        <v>1559</v>
      </c>
      <c r="F214" s="23" t="s">
        <v>1536</v>
      </c>
      <c r="G214" s="666"/>
      <c r="H214" s="608">
        <v>400000</v>
      </c>
      <c r="I214" s="50">
        <v>4</v>
      </c>
      <c r="J214" s="55">
        <v>0.3</v>
      </c>
      <c r="K214" s="49"/>
      <c r="L214" s="56"/>
      <c r="M214" s="61">
        <v>9</v>
      </c>
      <c r="N214" s="62">
        <v>2</v>
      </c>
      <c r="O214" s="62">
        <v>7</v>
      </c>
      <c r="P214" s="62">
        <v>10</v>
      </c>
      <c r="Q214" s="62">
        <v>7</v>
      </c>
      <c r="R214" s="62">
        <v>10</v>
      </c>
      <c r="S214" s="62">
        <v>4</v>
      </c>
      <c r="T214" s="63">
        <v>10</v>
      </c>
      <c r="U214" s="66" t="e">
        <f t="shared" ca="1" si="117"/>
        <v>#DIV/0!</v>
      </c>
      <c r="V214" s="66">
        <f t="shared" ca="1" si="118"/>
        <v>0.3</v>
      </c>
      <c r="W214" s="70">
        <f t="shared" si="119"/>
        <v>1.4210526315789473</v>
      </c>
      <c r="X214" s="70">
        <f t="shared" si="120"/>
        <v>0.21052631578947367</v>
      </c>
      <c r="Y214" s="70">
        <f t="shared" si="121"/>
        <v>0.98245614035087714</v>
      </c>
      <c r="Z214" s="70">
        <f t="shared" si="122"/>
        <v>1.7543859649122806</v>
      </c>
      <c r="AA214" s="70">
        <f t="shared" si="123"/>
        <v>0.61403508771929827</v>
      </c>
      <c r="AB214" s="70">
        <f t="shared" si="124"/>
        <v>1.2280701754385965</v>
      </c>
      <c r="AC214" s="70">
        <f t="shared" si="125"/>
        <v>0.42105263157894735</v>
      </c>
      <c r="AD214" s="71">
        <f t="shared" si="126"/>
        <v>1.0526315789473684</v>
      </c>
      <c r="AE214" s="72">
        <f t="shared" si="127"/>
        <v>0.6</v>
      </c>
      <c r="AF214" s="72">
        <f t="shared" ca="1" si="128"/>
        <v>0.7</v>
      </c>
      <c r="AG214" s="73">
        <f t="shared" ca="1" si="129"/>
        <v>0.6333333333333333</v>
      </c>
      <c r="AH214" s="456">
        <f t="shared" si="130"/>
        <v>7.6842105263157894</v>
      </c>
      <c r="AI214" s="467">
        <f t="shared" ca="1" si="131"/>
        <v>48.666666666666664</v>
      </c>
      <c r="AJ214" s="458" t="str">
        <f t="shared" ca="1" si="132"/>
        <v>Q3</v>
      </c>
      <c r="AK214" s="670" t="s">
        <v>1116</v>
      </c>
      <c r="AL214" s="570"/>
      <c r="AM214" s="117">
        <v>400000</v>
      </c>
      <c r="AN214" s="113"/>
      <c r="AO214" s="113"/>
      <c r="AP214" s="113"/>
      <c r="AQ214" s="121"/>
      <c r="AR214" s="436">
        <v>400000</v>
      </c>
      <c r="AS214" s="437" t="s">
        <v>514</v>
      </c>
      <c r="AT214" s="437" t="s">
        <v>514</v>
      </c>
      <c r="AU214" s="437"/>
      <c r="AV214" s="437"/>
      <c r="AW214" s="94"/>
    </row>
    <row r="215" spans="1:49" ht="36" customHeight="1">
      <c r="A215" s="5">
        <v>185</v>
      </c>
      <c r="B215" s="625">
        <v>35</v>
      </c>
      <c r="C215" s="6" t="s">
        <v>20</v>
      </c>
      <c r="D215" s="371" t="s">
        <v>417</v>
      </c>
      <c r="E215" s="18" t="s">
        <v>1128</v>
      </c>
      <c r="F215" s="20" t="s">
        <v>1528</v>
      </c>
      <c r="G215" s="20"/>
      <c r="H215" s="604">
        <v>150000</v>
      </c>
      <c r="I215" s="50">
        <v>2</v>
      </c>
      <c r="J215" s="55">
        <v>0</v>
      </c>
      <c r="K215" s="49"/>
      <c r="L215" s="56"/>
      <c r="M215" s="61">
        <v>5</v>
      </c>
      <c r="N215" s="62">
        <v>6</v>
      </c>
      <c r="O215" s="62">
        <v>2</v>
      </c>
      <c r="P215" s="62">
        <v>8</v>
      </c>
      <c r="Q215" s="62">
        <v>2</v>
      </c>
      <c r="R215" s="62">
        <v>10</v>
      </c>
      <c r="S215" s="62">
        <v>0</v>
      </c>
      <c r="T215" s="63">
        <v>10</v>
      </c>
      <c r="U215" s="66" t="e">
        <f t="shared" ca="1" si="117"/>
        <v>#DIV/0!</v>
      </c>
      <c r="V215" s="66">
        <f t="shared" ca="1" si="118"/>
        <v>0</v>
      </c>
      <c r="W215" s="70">
        <f t="shared" si="119"/>
        <v>0.78947368421052633</v>
      </c>
      <c r="X215" s="70">
        <f t="shared" si="120"/>
        <v>0.63157894736842102</v>
      </c>
      <c r="Y215" s="70">
        <f t="shared" si="121"/>
        <v>0.2807017543859649</v>
      </c>
      <c r="Z215" s="70">
        <f t="shared" si="122"/>
        <v>1.4035087719298245</v>
      </c>
      <c r="AA215" s="70">
        <f t="shared" si="123"/>
        <v>0.17543859649122806</v>
      </c>
      <c r="AB215" s="70">
        <f t="shared" si="124"/>
        <v>1.2280701754385965</v>
      </c>
      <c r="AC215" s="70">
        <f t="shared" si="125"/>
        <v>0</v>
      </c>
      <c r="AD215" s="71">
        <f t="shared" si="126"/>
        <v>1.0526315789473684</v>
      </c>
      <c r="AE215" s="72">
        <f t="shared" si="127"/>
        <v>0.8</v>
      </c>
      <c r="AF215" s="72">
        <f t="shared" ca="1" si="128"/>
        <v>1</v>
      </c>
      <c r="AG215" s="73">
        <f t="shared" ca="1" si="129"/>
        <v>0.8666666666666667</v>
      </c>
      <c r="AH215" s="456">
        <f t="shared" si="130"/>
        <v>5.5614035087719298</v>
      </c>
      <c r="AI215" s="467">
        <f t="shared" ca="1" si="131"/>
        <v>48.198830409356724</v>
      </c>
      <c r="AJ215" s="458" t="str">
        <f t="shared" ca="1" si="132"/>
        <v>Q2</v>
      </c>
      <c r="AK215" s="95" t="s">
        <v>1116</v>
      </c>
      <c r="AL215" s="572"/>
      <c r="AM215" s="117">
        <v>150000</v>
      </c>
      <c r="AN215" s="113"/>
      <c r="AO215" s="113"/>
      <c r="AP215" s="113"/>
      <c r="AQ215" s="121"/>
      <c r="AR215" s="436">
        <f>AM215</f>
        <v>150000</v>
      </c>
      <c r="AS215" s="437"/>
      <c r="AT215" s="437"/>
      <c r="AU215" s="437"/>
      <c r="AV215" s="437"/>
      <c r="AW215" s="94"/>
    </row>
    <row r="216" spans="1:49" ht="36" customHeight="1">
      <c r="A216" s="5">
        <v>158</v>
      </c>
      <c r="B216" s="625">
        <v>39</v>
      </c>
      <c r="C216" s="14" t="s">
        <v>20</v>
      </c>
      <c r="D216" s="442" t="s">
        <v>417</v>
      </c>
      <c r="E216" s="15" t="s">
        <v>1275</v>
      </c>
      <c r="F216" s="30" t="s">
        <v>1327</v>
      </c>
      <c r="G216" s="8"/>
      <c r="H216" s="606">
        <v>3032150</v>
      </c>
      <c r="I216" s="49">
        <v>2</v>
      </c>
      <c r="J216" s="55">
        <v>0.2</v>
      </c>
      <c r="K216" s="49"/>
      <c r="L216" s="56"/>
      <c r="M216" s="61">
        <v>8</v>
      </c>
      <c r="N216" s="62">
        <v>8</v>
      </c>
      <c r="O216" s="62">
        <v>2</v>
      </c>
      <c r="P216" s="62">
        <v>6.0000000000000036</v>
      </c>
      <c r="Q216" s="62">
        <v>4</v>
      </c>
      <c r="R216" s="62">
        <v>9</v>
      </c>
      <c r="S216" s="62">
        <v>0</v>
      </c>
      <c r="T216" s="63">
        <v>10</v>
      </c>
      <c r="U216" s="66" t="e">
        <f t="shared" ca="1" si="117"/>
        <v>#DIV/0!</v>
      </c>
      <c r="V216" s="66">
        <f t="shared" ca="1" si="118"/>
        <v>0.2</v>
      </c>
      <c r="W216" s="70">
        <f t="shared" si="119"/>
        <v>1.263157894736842</v>
      </c>
      <c r="X216" s="70">
        <f t="shared" si="120"/>
        <v>0.84210526315789469</v>
      </c>
      <c r="Y216" s="70">
        <f t="shared" si="121"/>
        <v>0.2807017543859649</v>
      </c>
      <c r="Z216" s="70">
        <f t="shared" si="122"/>
        <v>1.052631578947369</v>
      </c>
      <c r="AA216" s="70">
        <f t="shared" si="123"/>
        <v>0.35087719298245612</v>
      </c>
      <c r="AB216" s="70">
        <f t="shared" si="124"/>
        <v>1.1052631578947369</v>
      </c>
      <c r="AC216" s="70">
        <f t="shared" si="125"/>
        <v>0</v>
      </c>
      <c r="AD216" s="71">
        <f t="shared" si="126"/>
        <v>1.0526315789473684</v>
      </c>
      <c r="AE216" s="72">
        <f t="shared" si="127"/>
        <v>0.8</v>
      </c>
      <c r="AF216" s="72">
        <f t="shared" ca="1" si="128"/>
        <v>0.8</v>
      </c>
      <c r="AG216" s="73">
        <f t="shared" ca="1" si="129"/>
        <v>0.80000000000000016</v>
      </c>
      <c r="AH216" s="456">
        <f t="shared" si="130"/>
        <v>5.9473684210526319</v>
      </c>
      <c r="AI216" s="467">
        <f t="shared" ca="1" si="131"/>
        <v>47.578947368421069</v>
      </c>
      <c r="AJ216" s="458" t="str">
        <f t="shared" ca="1" si="132"/>
        <v>Q2</v>
      </c>
      <c r="AK216" s="95" t="s">
        <v>1116</v>
      </c>
      <c r="AL216" s="571"/>
      <c r="AM216" s="107"/>
      <c r="AN216" s="444">
        <v>2929614</v>
      </c>
      <c r="AO216" s="105"/>
      <c r="AP216" s="105"/>
      <c r="AQ216" s="493"/>
      <c r="AR216" s="436"/>
      <c r="AS216" s="437">
        <f>AN216*(1+Efactor)</f>
        <v>3032150.4899999998</v>
      </c>
      <c r="AT216" s="437"/>
      <c r="AU216" s="437"/>
      <c r="AV216" s="437"/>
      <c r="AW216" s="94"/>
    </row>
    <row r="217" spans="1:49" ht="36" customHeight="1">
      <c r="A217" s="5">
        <v>168</v>
      </c>
      <c r="B217" s="625">
        <v>54</v>
      </c>
      <c r="C217" s="6" t="s">
        <v>20</v>
      </c>
      <c r="D217" s="371" t="s">
        <v>417</v>
      </c>
      <c r="E217" s="18" t="s">
        <v>1128</v>
      </c>
      <c r="F217" s="20" t="s">
        <v>1133</v>
      </c>
      <c r="G217" s="20"/>
      <c r="H217" s="604">
        <v>150000</v>
      </c>
      <c r="I217" s="50">
        <v>2</v>
      </c>
      <c r="J217" s="55">
        <v>0.1</v>
      </c>
      <c r="K217" s="49"/>
      <c r="L217" s="56"/>
      <c r="M217" s="61">
        <v>4</v>
      </c>
      <c r="N217" s="62">
        <v>6</v>
      </c>
      <c r="O217" s="62">
        <v>2</v>
      </c>
      <c r="P217" s="62">
        <v>8</v>
      </c>
      <c r="Q217" s="62">
        <v>3</v>
      </c>
      <c r="R217" s="62">
        <v>10</v>
      </c>
      <c r="S217" s="62">
        <v>0</v>
      </c>
      <c r="T217" s="63">
        <v>10</v>
      </c>
      <c r="U217" s="66" t="e">
        <f t="shared" ca="1" si="117"/>
        <v>#DIV/0!</v>
      </c>
      <c r="V217" s="66">
        <f t="shared" ca="1" si="118"/>
        <v>0.1</v>
      </c>
      <c r="W217" s="70">
        <f t="shared" si="119"/>
        <v>0.63157894736842102</v>
      </c>
      <c r="X217" s="70">
        <f t="shared" si="120"/>
        <v>0.63157894736842102</v>
      </c>
      <c r="Y217" s="70">
        <f t="shared" si="121"/>
        <v>0.2807017543859649</v>
      </c>
      <c r="Z217" s="70">
        <f t="shared" si="122"/>
        <v>1.4035087719298245</v>
      </c>
      <c r="AA217" s="70">
        <f t="shared" si="123"/>
        <v>0.26315789473684209</v>
      </c>
      <c r="AB217" s="70">
        <f t="shared" si="124"/>
        <v>1.2280701754385965</v>
      </c>
      <c r="AC217" s="70">
        <f t="shared" si="125"/>
        <v>0</v>
      </c>
      <c r="AD217" s="71">
        <f t="shared" si="126"/>
        <v>1.0526315789473684</v>
      </c>
      <c r="AE217" s="72">
        <f t="shared" si="127"/>
        <v>0.8</v>
      </c>
      <c r="AF217" s="72">
        <f t="shared" ca="1" si="128"/>
        <v>0.9</v>
      </c>
      <c r="AG217" s="73">
        <f t="shared" ca="1" si="129"/>
        <v>0.83333333333333337</v>
      </c>
      <c r="AH217" s="456">
        <f t="shared" si="130"/>
        <v>5.4912280701754383</v>
      </c>
      <c r="AI217" s="467">
        <f t="shared" ca="1" si="131"/>
        <v>45.760233918128662</v>
      </c>
      <c r="AJ217" s="458" t="str">
        <f t="shared" ca="1" si="132"/>
        <v>Q2</v>
      </c>
      <c r="AK217" s="95" t="s">
        <v>1116</v>
      </c>
      <c r="AL217" s="572"/>
      <c r="AM217" s="117"/>
      <c r="AN217" s="113">
        <v>144928</v>
      </c>
      <c r="AO217" s="113"/>
      <c r="AP217" s="113"/>
      <c r="AQ217" s="121"/>
      <c r="AR217" s="436"/>
      <c r="AS217" s="437">
        <f>AN217*(1+Efactor)</f>
        <v>150000.47999999998</v>
      </c>
      <c r="AT217" s="437"/>
      <c r="AU217" s="437"/>
      <c r="AV217" s="437"/>
      <c r="AW217" s="94"/>
    </row>
    <row r="218" spans="1:49" ht="36" customHeight="1">
      <c r="A218" s="5">
        <v>167</v>
      </c>
      <c r="B218" s="625">
        <v>56</v>
      </c>
      <c r="C218" s="6" t="s">
        <v>20</v>
      </c>
      <c r="D218" s="371" t="s">
        <v>417</v>
      </c>
      <c r="E218" s="591" t="s">
        <v>1315</v>
      </c>
      <c r="F218" s="23" t="s">
        <v>1413</v>
      </c>
      <c r="G218" s="13"/>
      <c r="H218" s="603">
        <v>75000</v>
      </c>
      <c r="I218" s="50">
        <v>3</v>
      </c>
      <c r="J218" s="55">
        <v>0.1</v>
      </c>
      <c r="K218" s="49"/>
      <c r="L218" s="56"/>
      <c r="M218" s="61">
        <v>8</v>
      </c>
      <c r="N218" s="62">
        <v>6</v>
      </c>
      <c r="O218" s="62">
        <v>2</v>
      </c>
      <c r="P218" s="62">
        <v>9</v>
      </c>
      <c r="Q218" s="62">
        <v>5</v>
      </c>
      <c r="R218" s="62">
        <v>5</v>
      </c>
      <c r="S218" s="62">
        <v>1</v>
      </c>
      <c r="T218" s="63">
        <v>10</v>
      </c>
      <c r="U218" s="66" t="e">
        <f t="shared" ca="1" si="117"/>
        <v>#DIV/0!</v>
      </c>
      <c r="V218" s="66">
        <f t="shared" ca="1" si="118"/>
        <v>0.1</v>
      </c>
      <c r="W218" s="70">
        <f t="shared" si="119"/>
        <v>1.263157894736842</v>
      </c>
      <c r="X218" s="70">
        <f t="shared" si="120"/>
        <v>0.63157894736842102</v>
      </c>
      <c r="Y218" s="70">
        <f t="shared" si="121"/>
        <v>0.2807017543859649</v>
      </c>
      <c r="Z218" s="70">
        <f t="shared" si="122"/>
        <v>1.5789473684210527</v>
      </c>
      <c r="AA218" s="70">
        <f t="shared" si="123"/>
        <v>0.43859649122807015</v>
      </c>
      <c r="AB218" s="70">
        <f t="shared" si="124"/>
        <v>0.61403508771929827</v>
      </c>
      <c r="AC218" s="70">
        <f t="shared" si="125"/>
        <v>0.10526315789473684</v>
      </c>
      <c r="AD218" s="71">
        <f t="shared" si="126"/>
        <v>1.0526315789473684</v>
      </c>
      <c r="AE218" s="72">
        <f t="shared" si="127"/>
        <v>0.7</v>
      </c>
      <c r="AF218" s="72">
        <f t="shared" ca="1" si="128"/>
        <v>0.9</v>
      </c>
      <c r="AG218" s="73">
        <f t="shared" ca="1" si="129"/>
        <v>0.76666666666666661</v>
      </c>
      <c r="AH218" s="456">
        <f t="shared" si="130"/>
        <v>5.9649122807017534</v>
      </c>
      <c r="AI218" s="467">
        <f t="shared" ca="1" si="131"/>
        <v>45.730994152046769</v>
      </c>
      <c r="AJ218" s="458" t="str">
        <f t="shared" ca="1" si="132"/>
        <v>Q2</v>
      </c>
      <c r="AK218" s="95" t="s">
        <v>1116</v>
      </c>
      <c r="AL218" s="111"/>
      <c r="AM218" s="117"/>
      <c r="AN218" s="113">
        <v>72464</v>
      </c>
      <c r="AO218" s="113"/>
      <c r="AP218" s="113"/>
      <c r="AQ218" s="121"/>
      <c r="AR218" s="436"/>
      <c r="AS218" s="437">
        <f>AN218*(1+Efactor)</f>
        <v>75000.239999999991</v>
      </c>
      <c r="AT218" s="437"/>
      <c r="AU218" s="437"/>
      <c r="AV218" s="437"/>
      <c r="AW218" s="94"/>
    </row>
    <row r="219" spans="1:49" s="228" customFormat="1" ht="36" customHeight="1">
      <c r="A219" s="5">
        <v>164</v>
      </c>
      <c r="B219" s="625">
        <v>61</v>
      </c>
      <c r="C219" s="14" t="s">
        <v>20</v>
      </c>
      <c r="D219" s="442" t="s">
        <v>417</v>
      </c>
      <c r="E219" s="15" t="s">
        <v>1274</v>
      </c>
      <c r="F219" s="30" t="s">
        <v>1328</v>
      </c>
      <c r="G219" s="8"/>
      <c r="H219" s="606">
        <v>2796372</v>
      </c>
      <c r="I219" s="49">
        <v>3</v>
      </c>
      <c r="J219" s="55">
        <v>0.1</v>
      </c>
      <c r="K219" s="49"/>
      <c r="L219" s="56"/>
      <c r="M219" s="61">
        <v>8</v>
      </c>
      <c r="N219" s="62">
        <v>8</v>
      </c>
      <c r="O219" s="62">
        <v>2</v>
      </c>
      <c r="P219" s="62">
        <v>6.0000000000000036</v>
      </c>
      <c r="Q219" s="62">
        <v>4</v>
      </c>
      <c r="R219" s="62">
        <v>9</v>
      </c>
      <c r="S219" s="62">
        <v>0</v>
      </c>
      <c r="T219" s="63">
        <v>10</v>
      </c>
      <c r="U219" s="66" t="e">
        <f t="shared" ca="1" si="117"/>
        <v>#DIV/0!</v>
      </c>
      <c r="V219" s="66">
        <f t="shared" ca="1" si="118"/>
        <v>0.1</v>
      </c>
      <c r="W219" s="70">
        <f t="shared" si="119"/>
        <v>1.263157894736842</v>
      </c>
      <c r="X219" s="70">
        <f t="shared" si="120"/>
        <v>0.84210526315789469</v>
      </c>
      <c r="Y219" s="70">
        <f t="shared" si="121"/>
        <v>0.2807017543859649</v>
      </c>
      <c r="Z219" s="70">
        <f t="shared" si="122"/>
        <v>1.052631578947369</v>
      </c>
      <c r="AA219" s="70">
        <f t="shared" si="123"/>
        <v>0.35087719298245612</v>
      </c>
      <c r="AB219" s="70">
        <f t="shared" si="124"/>
        <v>1.1052631578947369</v>
      </c>
      <c r="AC219" s="70">
        <f t="shared" si="125"/>
        <v>0</v>
      </c>
      <c r="AD219" s="71">
        <f t="shared" si="126"/>
        <v>1.0526315789473684</v>
      </c>
      <c r="AE219" s="72">
        <f t="shared" si="127"/>
        <v>0.7</v>
      </c>
      <c r="AF219" s="72">
        <f t="shared" ca="1" si="128"/>
        <v>0.9</v>
      </c>
      <c r="AG219" s="73">
        <f t="shared" ca="1" si="129"/>
        <v>0.76666666666666661</v>
      </c>
      <c r="AH219" s="456">
        <f t="shared" si="130"/>
        <v>5.9473684210526319</v>
      </c>
      <c r="AI219" s="467">
        <f t="shared" ca="1" si="131"/>
        <v>45.596491228070171</v>
      </c>
      <c r="AJ219" s="458" t="str">
        <f t="shared" ca="1" si="132"/>
        <v>Q2</v>
      </c>
      <c r="AK219" s="95" t="s">
        <v>1116</v>
      </c>
      <c r="AL219" s="110"/>
      <c r="AM219" s="107"/>
      <c r="AN219" s="105"/>
      <c r="AO219" s="444">
        <v>2610443</v>
      </c>
      <c r="AP219" s="105"/>
      <c r="AQ219" s="493"/>
      <c r="AR219" s="436"/>
      <c r="AS219" s="437"/>
      <c r="AT219" s="437">
        <f>AO219*(1+Efactor)^2</f>
        <v>2796371.8026749995</v>
      </c>
      <c r="AU219" s="437"/>
      <c r="AV219" s="437"/>
      <c r="AW219" s="94"/>
    </row>
    <row r="220" spans="1:49" ht="36" customHeight="1">
      <c r="A220" s="1">
        <v>165</v>
      </c>
      <c r="B220" s="625">
        <v>81</v>
      </c>
      <c r="C220" s="2" t="s">
        <v>20</v>
      </c>
      <c r="D220" s="370" t="s">
        <v>417</v>
      </c>
      <c r="E220" s="674" t="s">
        <v>1313</v>
      </c>
      <c r="F220" s="23" t="s">
        <v>1312</v>
      </c>
      <c r="G220" s="462"/>
      <c r="H220" s="601">
        <v>75000</v>
      </c>
      <c r="I220" s="380">
        <v>3</v>
      </c>
      <c r="J220" s="377">
        <v>0.3</v>
      </c>
      <c r="K220" s="376"/>
      <c r="L220" s="378"/>
      <c r="M220" s="61">
        <v>8</v>
      </c>
      <c r="N220" s="62">
        <v>5</v>
      </c>
      <c r="O220" s="62">
        <v>3</v>
      </c>
      <c r="P220" s="62">
        <v>9</v>
      </c>
      <c r="Q220" s="62">
        <v>5</v>
      </c>
      <c r="R220" s="62">
        <v>5</v>
      </c>
      <c r="S220" s="62">
        <v>1</v>
      </c>
      <c r="T220" s="63">
        <v>10</v>
      </c>
      <c r="U220" s="379" t="e">
        <f t="shared" ca="1" si="117"/>
        <v>#DIV/0!</v>
      </c>
      <c r="V220" s="379">
        <f t="shared" ca="1" si="118"/>
        <v>0.3</v>
      </c>
      <c r="W220" s="70">
        <f t="shared" si="119"/>
        <v>1.263157894736842</v>
      </c>
      <c r="X220" s="70">
        <f t="shared" si="120"/>
        <v>0.52631578947368418</v>
      </c>
      <c r="Y220" s="70">
        <f t="shared" si="121"/>
        <v>0.42105263157894735</v>
      </c>
      <c r="Z220" s="70">
        <f t="shared" si="122"/>
        <v>1.5789473684210527</v>
      </c>
      <c r="AA220" s="70">
        <f t="shared" si="123"/>
        <v>0.43859649122807015</v>
      </c>
      <c r="AB220" s="70">
        <f t="shared" si="124"/>
        <v>0.61403508771929827</v>
      </c>
      <c r="AC220" s="70">
        <f t="shared" si="125"/>
        <v>0.10526315789473684</v>
      </c>
      <c r="AD220" s="71">
        <f t="shared" si="126"/>
        <v>1.0526315789473684</v>
      </c>
      <c r="AE220" s="72">
        <f t="shared" si="127"/>
        <v>0.7</v>
      </c>
      <c r="AF220" s="72">
        <f t="shared" ca="1" si="128"/>
        <v>0.7</v>
      </c>
      <c r="AG220" s="73">
        <f t="shared" ca="1" si="129"/>
        <v>0.69999999999999984</v>
      </c>
      <c r="AH220" s="455">
        <f t="shared" si="130"/>
        <v>5.9999999999999991</v>
      </c>
      <c r="AI220" s="466">
        <f t="shared" ca="1" si="131"/>
        <v>41.999999999999986</v>
      </c>
      <c r="AJ220" s="458" t="str">
        <f t="shared" ca="1" si="132"/>
        <v>Q4</v>
      </c>
      <c r="AK220" s="373" t="s">
        <v>1116</v>
      </c>
      <c r="AL220" s="111"/>
      <c r="AM220" s="117"/>
      <c r="AN220" s="113"/>
      <c r="AO220" s="113">
        <v>70013</v>
      </c>
      <c r="AP220" s="113"/>
      <c r="AQ220" s="121"/>
      <c r="AR220" s="436"/>
      <c r="AS220" s="437"/>
      <c r="AT220" s="437">
        <f>AO220*(1+Efactor)^2</f>
        <v>74999.675924999989</v>
      </c>
      <c r="AU220" s="437"/>
      <c r="AV220" s="437"/>
      <c r="AW220" s="92"/>
    </row>
    <row r="221" spans="1:49" ht="36" customHeight="1">
      <c r="A221" s="5">
        <v>128</v>
      </c>
      <c r="B221" s="625">
        <v>82</v>
      </c>
      <c r="C221" s="6" t="s">
        <v>20</v>
      </c>
      <c r="D221" s="371" t="s">
        <v>417</v>
      </c>
      <c r="E221" s="18" t="s">
        <v>1128</v>
      </c>
      <c r="F221" s="20" t="s">
        <v>1133</v>
      </c>
      <c r="G221" s="20"/>
      <c r="H221" s="604">
        <v>150000</v>
      </c>
      <c r="I221" s="50">
        <v>3</v>
      </c>
      <c r="J221" s="55">
        <v>0.1</v>
      </c>
      <c r="K221" s="49"/>
      <c r="L221" s="56"/>
      <c r="M221" s="61">
        <v>4</v>
      </c>
      <c r="N221" s="62">
        <v>6</v>
      </c>
      <c r="O221" s="62">
        <v>2</v>
      </c>
      <c r="P221" s="62">
        <v>8</v>
      </c>
      <c r="Q221" s="62">
        <v>2</v>
      </c>
      <c r="R221" s="62">
        <v>10</v>
      </c>
      <c r="S221" s="62">
        <v>0</v>
      </c>
      <c r="T221" s="63">
        <v>10</v>
      </c>
      <c r="U221" s="66" t="e">
        <f t="shared" ca="1" si="117"/>
        <v>#DIV/0!</v>
      </c>
      <c r="V221" s="66">
        <f t="shared" ca="1" si="118"/>
        <v>0.1</v>
      </c>
      <c r="W221" s="70">
        <f t="shared" si="119"/>
        <v>0.63157894736842102</v>
      </c>
      <c r="X221" s="70">
        <f t="shared" si="120"/>
        <v>0.63157894736842102</v>
      </c>
      <c r="Y221" s="70">
        <f t="shared" si="121"/>
        <v>0.2807017543859649</v>
      </c>
      <c r="Z221" s="70">
        <f t="shared" si="122"/>
        <v>1.4035087719298245</v>
      </c>
      <c r="AA221" s="70">
        <f t="shared" si="123"/>
        <v>0.17543859649122806</v>
      </c>
      <c r="AB221" s="70">
        <f t="shared" si="124"/>
        <v>1.2280701754385965</v>
      </c>
      <c r="AC221" s="70">
        <f t="shared" si="125"/>
        <v>0</v>
      </c>
      <c r="AD221" s="71">
        <f t="shared" si="126"/>
        <v>1.0526315789473684</v>
      </c>
      <c r="AE221" s="72">
        <f t="shared" si="127"/>
        <v>0.7</v>
      </c>
      <c r="AF221" s="72">
        <f t="shared" ca="1" si="128"/>
        <v>0.9</v>
      </c>
      <c r="AG221" s="73">
        <f t="shared" ca="1" si="129"/>
        <v>0.76666666666666661</v>
      </c>
      <c r="AH221" s="456">
        <f t="shared" si="130"/>
        <v>5.4035087719298245</v>
      </c>
      <c r="AI221" s="467">
        <f t="shared" ca="1" si="131"/>
        <v>41.426900584795312</v>
      </c>
      <c r="AJ221" s="458" t="str">
        <f t="shared" ca="1" si="132"/>
        <v>Q2</v>
      </c>
      <c r="AK221" s="95" t="s">
        <v>1116</v>
      </c>
      <c r="AL221" s="111"/>
      <c r="AM221" s="117"/>
      <c r="AN221" s="113"/>
      <c r="AO221" s="113">
        <v>140027</v>
      </c>
      <c r="AP221" s="121"/>
      <c r="AQ221" s="586"/>
      <c r="AR221" s="436"/>
      <c r="AS221" s="437"/>
      <c r="AT221" s="437">
        <f>AO221*(1+Efactor)^2</f>
        <v>150000.42307499997</v>
      </c>
      <c r="AU221" s="437"/>
      <c r="AV221" s="437"/>
      <c r="AW221" s="94"/>
    </row>
    <row r="222" spans="1:49" ht="36" customHeight="1">
      <c r="A222" s="5"/>
      <c r="B222" s="625">
        <v>86</v>
      </c>
      <c r="C222" s="14" t="s">
        <v>20</v>
      </c>
      <c r="D222" s="442" t="s">
        <v>417</v>
      </c>
      <c r="E222" s="10" t="s">
        <v>60</v>
      </c>
      <c r="F222" s="23" t="s">
        <v>1190</v>
      </c>
      <c r="G222" s="13" t="s">
        <v>61</v>
      </c>
      <c r="H222" s="600">
        <v>250000</v>
      </c>
      <c r="I222" s="50">
        <v>3</v>
      </c>
      <c r="J222" s="55">
        <v>0.2</v>
      </c>
      <c r="K222" s="49"/>
      <c r="L222" s="56"/>
      <c r="M222" s="61">
        <v>7</v>
      </c>
      <c r="N222" s="62">
        <v>6.0000000000000036</v>
      </c>
      <c r="O222" s="62">
        <v>6.0000000000000036</v>
      </c>
      <c r="P222" s="62">
        <v>6.0000000000000036</v>
      </c>
      <c r="Q222" s="62">
        <v>3</v>
      </c>
      <c r="R222" s="62">
        <v>6</v>
      </c>
      <c r="S222" s="62">
        <v>0</v>
      </c>
      <c r="T222" s="63">
        <v>9</v>
      </c>
      <c r="U222" s="66" t="e">
        <f t="shared" ca="1" si="117"/>
        <v>#DIV/0!</v>
      </c>
      <c r="V222" s="66">
        <f t="shared" ca="1" si="118"/>
        <v>0.2</v>
      </c>
      <c r="W222" s="70">
        <f t="shared" si="119"/>
        <v>1.1052631578947369</v>
      </c>
      <c r="X222" s="70">
        <f t="shared" si="120"/>
        <v>0.63157894736842146</v>
      </c>
      <c r="Y222" s="70">
        <f t="shared" si="121"/>
        <v>0.84210526315789525</v>
      </c>
      <c r="Z222" s="70">
        <f t="shared" si="122"/>
        <v>1.052631578947369</v>
      </c>
      <c r="AA222" s="70">
        <f t="shared" si="123"/>
        <v>0.26315789473684209</v>
      </c>
      <c r="AB222" s="70">
        <f t="shared" si="124"/>
        <v>0.73684210526315785</v>
      </c>
      <c r="AC222" s="70">
        <f t="shared" si="125"/>
        <v>0</v>
      </c>
      <c r="AD222" s="71">
        <f t="shared" si="126"/>
        <v>0.94736842105263153</v>
      </c>
      <c r="AE222" s="72">
        <f t="shared" si="127"/>
        <v>0.7</v>
      </c>
      <c r="AF222" s="72">
        <f t="shared" ca="1" si="128"/>
        <v>0.8</v>
      </c>
      <c r="AG222" s="73">
        <f t="shared" ca="1" si="129"/>
        <v>0.73333333333333339</v>
      </c>
      <c r="AH222" s="456">
        <f t="shared" si="130"/>
        <v>5.578947368421054</v>
      </c>
      <c r="AI222" s="467">
        <f t="shared" ca="1" si="131"/>
        <v>40.912280701754398</v>
      </c>
      <c r="AJ222" s="458" t="str">
        <f t="shared" ca="1" si="132"/>
        <v>Q4</v>
      </c>
      <c r="AK222" s="95" t="s">
        <v>1116</v>
      </c>
      <c r="AL222" s="570"/>
      <c r="AM222" s="117"/>
      <c r="AN222" s="113"/>
      <c r="AO222" s="113">
        <v>233378</v>
      </c>
      <c r="AP222" s="113"/>
      <c r="AQ222" s="121"/>
      <c r="AR222" s="436"/>
      <c r="AS222" s="437"/>
      <c r="AT222" s="437">
        <f>AO222*(1+Efactor)^2</f>
        <v>250000.34804999997</v>
      </c>
      <c r="AU222" s="437"/>
      <c r="AV222" s="437"/>
      <c r="AW222" s="94"/>
    </row>
    <row r="223" spans="1:49" s="228" customFormat="1" ht="36" customHeight="1">
      <c r="A223" s="5">
        <v>274</v>
      </c>
      <c r="B223" s="625">
        <v>99</v>
      </c>
      <c r="C223" s="14" t="s">
        <v>20</v>
      </c>
      <c r="D223" s="442" t="s">
        <v>417</v>
      </c>
      <c r="E223" s="15" t="s">
        <v>1276</v>
      </c>
      <c r="F223" s="30" t="s">
        <v>1330</v>
      </c>
      <c r="G223" s="8"/>
      <c r="H223" s="606">
        <v>2904480</v>
      </c>
      <c r="I223" s="49">
        <v>3</v>
      </c>
      <c r="J223" s="55">
        <v>0.4</v>
      </c>
      <c r="K223" s="49"/>
      <c r="L223" s="56"/>
      <c r="M223" s="61">
        <v>8</v>
      </c>
      <c r="N223" s="62">
        <v>8</v>
      </c>
      <c r="O223" s="62">
        <v>2</v>
      </c>
      <c r="P223" s="62">
        <v>6.0000000000000036</v>
      </c>
      <c r="Q223" s="62">
        <v>4</v>
      </c>
      <c r="R223" s="62">
        <v>9</v>
      </c>
      <c r="S223" s="62">
        <v>0</v>
      </c>
      <c r="T223" s="63">
        <v>10</v>
      </c>
      <c r="U223" s="66" t="e">
        <f t="shared" ca="1" si="117"/>
        <v>#DIV/0!</v>
      </c>
      <c r="V223" s="66">
        <f t="shared" ca="1" si="118"/>
        <v>0.4</v>
      </c>
      <c r="W223" s="70">
        <f t="shared" si="119"/>
        <v>1.263157894736842</v>
      </c>
      <c r="X223" s="70">
        <f t="shared" si="120"/>
        <v>0.84210526315789469</v>
      </c>
      <c r="Y223" s="70">
        <f t="shared" si="121"/>
        <v>0.2807017543859649</v>
      </c>
      <c r="Z223" s="70">
        <f t="shared" si="122"/>
        <v>1.052631578947369</v>
      </c>
      <c r="AA223" s="70">
        <f t="shared" si="123"/>
        <v>0.35087719298245612</v>
      </c>
      <c r="AB223" s="70">
        <f t="shared" si="124"/>
        <v>1.1052631578947369</v>
      </c>
      <c r="AC223" s="70">
        <f t="shared" si="125"/>
        <v>0</v>
      </c>
      <c r="AD223" s="71">
        <f t="shared" si="126"/>
        <v>1.0526315789473684</v>
      </c>
      <c r="AE223" s="72">
        <f t="shared" si="127"/>
        <v>0.7</v>
      </c>
      <c r="AF223" s="72">
        <f t="shared" ca="1" si="128"/>
        <v>0.6</v>
      </c>
      <c r="AG223" s="73">
        <f t="shared" ca="1" si="129"/>
        <v>0.66666666666666663</v>
      </c>
      <c r="AH223" s="456">
        <f t="shared" si="130"/>
        <v>5.9473684210526319</v>
      </c>
      <c r="AI223" s="467">
        <f t="shared" ca="1" si="131"/>
        <v>39.649122807017541</v>
      </c>
      <c r="AJ223" s="458" t="str">
        <f t="shared" ca="1" si="132"/>
        <v>Q4</v>
      </c>
      <c r="AK223" s="95" t="s">
        <v>1116</v>
      </c>
      <c r="AL223" s="571"/>
      <c r="AM223" s="107"/>
      <c r="AN223" s="105"/>
      <c r="AO223" s="105"/>
      <c r="AP223" s="444">
        <v>2619675</v>
      </c>
      <c r="AQ223" s="493"/>
      <c r="AR223" s="436"/>
      <c r="AS223" s="437"/>
      <c r="AT223" s="437"/>
      <c r="AU223" s="437">
        <f>AP223*(1+Efactor)^3</f>
        <v>2904480.4991906243</v>
      </c>
      <c r="AV223" s="437"/>
      <c r="AW223" s="94"/>
    </row>
    <row r="224" spans="1:49" ht="36" customHeight="1">
      <c r="A224" s="1">
        <v>255</v>
      </c>
      <c r="B224" s="625">
        <v>102</v>
      </c>
      <c r="C224" s="2" t="s">
        <v>20</v>
      </c>
      <c r="D224" s="370" t="s">
        <v>417</v>
      </c>
      <c r="E224" s="674" t="s">
        <v>1316</v>
      </c>
      <c r="F224" s="23" t="s">
        <v>1314</v>
      </c>
      <c r="G224" s="462"/>
      <c r="H224" s="601">
        <v>75000</v>
      </c>
      <c r="I224" s="380">
        <v>4</v>
      </c>
      <c r="J224" s="377">
        <v>0.2</v>
      </c>
      <c r="K224" s="376"/>
      <c r="L224" s="378"/>
      <c r="M224" s="61">
        <v>8</v>
      </c>
      <c r="N224" s="62">
        <v>5</v>
      </c>
      <c r="O224" s="62">
        <v>2</v>
      </c>
      <c r="P224" s="62">
        <v>9</v>
      </c>
      <c r="Q224" s="62">
        <v>5</v>
      </c>
      <c r="R224" s="62">
        <v>5</v>
      </c>
      <c r="S224" s="62">
        <v>1</v>
      </c>
      <c r="T224" s="63">
        <v>10</v>
      </c>
      <c r="U224" s="379" t="e">
        <f t="shared" ca="1" si="117"/>
        <v>#DIV/0!</v>
      </c>
      <c r="V224" s="379">
        <f t="shared" ca="1" si="118"/>
        <v>0.2</v>
      </c>
      <c r="W224" s="70">
        <f t="shared" si="119"/>
        <v>1.263157894736842</v>
      </c>
      <c r="X224" s="70">
        <f t="shared" si="120"/>
        <v>0.52631578947368418</v>
      </c>
      <c r="Y224" s="70">
        <f t="shared" si="121"/>
        <v>0.2807017543859649</v>
      </c>
      <c r="Z224" s="70">
        <f t="shared" si="122"/>
        <v>1.5789473684210527</v>
      </c>
      <c r="AA224" s="70">
        <f t="shared" si="123"/>
        <v>0.43859649122807015</v>
      </c>
      <c r="AB224" s="70">
        <f t="shared" si="124"/>
        <v>0.61403508771929827</v>
      </c>
      <c r="AC224" s="70">
        <f t="shared" si="125"/>
        <v>0.10526315789473684</v>
      </c>
      <c r="AD224" s="71">
        <f t="shared" si="126"/>
        <v>1.0526315789473684</v>
      </c>
      <c r="AE224" s="72">
        <f t="shared" si="127"/>
        <v>0.6</v>
      </c>
      <c r="AF224" s="72">
        <f t="shared" ca="1" si="128"/>
        <v>0.8</v>
      </c>
      <c r="AG224" s="73">
        <f t="shared" ca="1" si="129"/>
        <v>0.66666666666666663</v>
      </c>
      <c r="AH224" s="455">
        <f t="shared" si="130"/>
        <v>5.8596491228070171</v>
      </c>
      <c r="AI224" s="466">
        <f t="shared" ca="1" si="131"/>
        <v>39.064327485380112</v>
      </c>
      <c r="AJ224" s="458" t="str">
        <f t="shared" ca="1" si="132"/>
        <v>Q4</v>
      </c>
      <c r="AK224" s="373" t="s">
        <v>1116</v>
      </c>
      <c r="AL224" s="572"/>
      <c r="AM224" s="117"/>
      <c r="AN224" s="113"/>
      <c r="AO224" s="113"/>
      <c r="AP224" s="113">
        <v>67646</v>
      </c>
      <c r="AQ224" s="121"/>
      <c r="AR224" s="436"/>
      <c r="AS224" s="437"/>
      <c r="AT224" s="437"/>
      <c r="AU224" s="437">
        <f>AP224*(1+Efactor)^3</f>
        <v>75000.32937224998</v>
      </c>
      <c r="AV224" s="437"/>
      <c r="AW224" s="92"/>
    </row>
    <row r="225" spans="1:49" ht="36" customHeight="1">
      <c r="A225" s="5">
        <v>241</v>
      </c>
      <c r="B225" s="625">
        <v>107</v>
      </c>
      <c r="C225" s="6" t="s">
        <v>20</v>
      </c>
      <c r="D225" s="371" t="s">
        <v>417</v>
      </c>
      <c r="E225" s="18" t="s">
        <v>1288</v>
      </c>
      <c r="F225" s="19" t="s">
        <v>1289</v>
      </c>
      <c r="G225" s="20"/>
      <c r="H225" s="603">
        <v>125000</v>
      </c>
      <c r="I225" s="50">
        <v>1</v>
      </c>
      <c r="J225" s="55">
        <v>0</v>
      </c>
      <c r="K225" s="49"/>
      <c r="L225" s="56"/>
      <c r="M225" s="61">
        <v>4</v>
      </c>
      <c r="N225" s="62">
        <v>5</v>
      </c>
      <c r="O225" s="62">
        <v>2</v>
      </c>
      <c r="P225" s="62">
        <v>5</v>
      </c>
      <c r="Q225" s="62">
        <v>6</v>
      </c>
      <c r="R225" s="62">
        <v>4</v>
      </c>
      <c r="S225" s="62">
        <v>0</v>
      </c>
      <c r="T225" s="63">
        <v>7</v>
      </c>
      <c r="U225" s="66" t="e">
        <f t="shared" ca="1" si="117"/>
        <v>#DIV/0!</v>
      </c>
      <c r="V225" s="66">
        <f t="shared" ca="1" si="118"/>
        <v>0</v>
      </c>
      <c r="W225" s="70">
        <f t="shared" si="119"/>
        <v>0.63157894736842102</v>
      </c>
      <c r="X225" s="70">
        <f t="shared" si="120"/>
        <v>0.52631578947368418</v>
      </c>
      <c r="Y225" s="70">
        <f t="shared" si="121"/>
        <v>0.2807017543859649</v>
      </c>
      <c r="Z225" s="70">
        <f t="shared" si="122"/>
        <v>0.8771929824561403</v>
      </c>
      <c r="AA225" s="70">
        <f t="shared" si="123"/>
        <v>0.52631578947368418</v>
      </c>
      <c r="AB225" s="70">
        <f t="shared" si="124"/>
        <v>0.49122807017543857</v>
      </c>
      <c r="AC225" s="70">
        <f t="shared" si="125"/>
        <v>0</v>
      </c>
      <c r="AD225" s="71">
        <f t="shared" si="126"/>
        <v>0.73684210526315785</v>
      </c>
      <c r="AE225" s="72">
        <f t="shared" si="127"/>
        <v>0.9</v>
      </c>
      <c r="AF225" s="72">
        <f t="shared" ca="1" si="128"/>
        <v>1</v>
      </c>
      <c r="AG225" s="73">
        <f t="shared" ca="1" si="129"/>
        <v>0.93333333333333324</v>
      </c>
      <c r="AH225" s="456">
        <f t="shared" si="130"/>
        <v>4.0701754385964906</v>
      </c>
      <c r="AI225" s="467">
        <f t="shared" ca="1" si="131"/>
        <v>37.988304093567244</v>
      </c>
      <c r="AJ225" s="458" t="str">
        <f t="shared" ca="1" si="132"/>
        <v>Q2</v>
      </c>
      <c r="AK225" s="95" t="s">
        <v>1116</v>
      </c>
      <c r="AL225" s="111"/>
      <c r="AM225" s="117"/>
      <c r="AN225" s="113"/>
      <c r="AO225" s="113"/>
      <c r="AP225" s="113">
        <v>112743</v>
      </c>
      <c r="AQ225" s="121"/>
      <c r="AR225" s="436"/>
      <c r="AS225" s="437"/>
      <c r="AT225" s="437"/>
      <c r="AU225" s="437">
        <f>AP225*(1+Efactor)^3</f>
        <v>125000.17938112497</v>
      </c>
      <c r="AV225" s="437"/>
      <c r="AW225" s="94"/>
    </row>
    <row r="226" spans="1:49" s="286" customFormat="1" ht="36" customHeight="1">
      <c r="A226" s="424">
        <v>350</v>
      </c>
      <c r="B226" s="625">
        <v>109</v>
      </c>
      <c r="C226" s="6" t="s">
        <v>20</v>
      </c>
      <c r="D226" s="371" t="s">
        <v>417</v>
      </c>
      <c r="E226" s="18" t="s">
        <v>1128</v>
      </c>
      <c r="F226" s="20" t="s">
        <v>1133</v>
      </c>
      <c r="G226" s="20"/>
      <c r="H226" s="604">
        <v>150000</v>
      </c>
      <c r="I226" s="50">
        <v>3</v>
      </c>
      <c r="J226" s="55">
        <v>0.3</v>
      </c>
      <c r="K226" s="49"/>
      <c r="L226" s="56"/>
      <c r="M226" s="61">
        <v>4</v>
      </c>
      <c r="N226" s="62">
        <v>6</v>
      </c>
      <c r="O226" s="62">
        <v>2</v>
      </c>
      <c r="P226" s="62">
        <v>8</v>
      </c>
      <c r="Q226" s="62">
        <v>2</v>
      </c>
      <c r="R226" s="62">
        <v>10</v>
      </c>
      <c r="S226" s="62">
        <v>0</v>
      </c>
      <c r="T226" s="63">
        <v>10</v>
      </c>
      <c r="U226" s="66" t="e">
        <f t="shared" ca="1" si="117"/>
        <v>#DIV/0!</v>
      </c>
      <c r="V226" s="66">
        <f t="shared" ca="1" si="118"/>
        <v>0.3</v>
      </c>
      <c r="W226" s="70">
        <f t="shared" si="119"/>
        <v>0.63157894736842102</v>
      </c>
      <c r="X226" s="70">
        <f t="shared" si="120"/>
        <v>0.63157894736842102</v>
      </c>
      <c r="Y226" s="70">
        <f t="shared" si="121"/>
        <v>0.2807017543859649</v>
      </c>
      <c r="Z226" s="70">
        <f t="shared" si="122"/>
        <v>1.4035087719298245</v>
      </c>
      <c r="AA226" s="70">
        <f t="shared" si="123"/>
        <v>0.17543859649122806</v>
      </c>
      <c r="AB226" s="70">
        <f t="shared" si="124"/>
        <v>1.2280701754385965</v>
      </c>
      <c r="AC226" s="70">
        <f t="shared" si="125"/>
        <v>0</v>
      </c>
      <c r="AD226" s="71">
        <f t="shared" si="126"/>
        <v>1.0526315789473684</v>
      </c>
      <c r="AE226" s="72">
        <f t="shared" si="127"/>
        <v>0.7</v>
      </c>
      <c r="AF226" s="72">
        <f t="shared" ca="1" si="128"/>
        <v>0.7</v>
      </c>
      <c r="AG226" s="73">
        <f t="shared" ca="1" si="129"/>
        <v>0.69999999999999984</v>
      </c>
      <c r="AH226" s="456">
        <f t="shared" si="130"/>
        <v>5.4035087719298245</v>
      </c>
      <c r="AI226" s="467">
        <f t="shared" ca="1" si="131"/>
        <v>37.824561403508767</v>
      </c>
      <c r="AJ226" s="458" t="str">
        <f t="shared" ca="1" si="132"/>
        <v>Q4</v>
      </c>
      <c r="AK226" s="95" t="s">
        <v>1116</v>
      </c>
      <c r="AL226" s="572"/>
      <c r="AM226" s="117"/>
      <c r="AN226" s="113"/>
      <c r="AO226" s="113"/>
      <c r="AP226" s="113">
        <v>135291</v>
      </c>
      <c r="AQ226" s="121"/>
      <c r="AR226" s="436"/>
      <c r="AS226" s="437"/>
      <c r="AT226" s="437"/>
      <c r="AU226" s="437">
        <f>AP226*(1+Efactor)^3</f>
        <v>149999.55002662496</v>
      </c>
      <c r="AV226" s="437"/>
      <c r="AW226" s="590"/>
    </row>
    <row r="227" spans="1:49" ht="36" customHeight="1">
      <c r="A227" s="5">
        <v>268</v>
      </c>
      <c r="B227" s="625">
        <v>114</v>
      </c>
      <c r="C227" s="14" t="s">
        <v>20</v>
      </c>
      <c r="D227" s="442" t="s">
        <v>417</v>
      </c>
      <c r="E227" s="15" t="s">
        <v>1277</v>
      </c>
      <c r="F227" s="30" t="s">
        <v>1273</v>
      </c>
      <c r="G227" s="8"/>
      <c r="H227" s="606">
        <v>2984197</v>
      </c>
      <c r="I227" s="49">
        <v>4</v>
      </c>
      <c r="J227" s="55">
        <v>0.3</v>
      </c>
      <c r="K227" s="49"/>
      <c r="L227" s="56"/>
      <c r="M227" s="61">
        <v>8</v>
      </c>
      <c r="N227" s="62">
        <v>8</v>
      </c>
      <c r="O227" s="62">
        <v>2</v>
      </c>
      <c r="P227" s="62">
        <v>6.0000000000000036</v>
      </c>
      <c r="Q227" s="62">
        <v>4</v>
      </c>
      <c r="R227" s="62">
        <v>9</v>
      </c>
      <c r="S227" s="62">
        <v>0</v>
      </c>
      <c r="T227" s="63">
        <v>10</v>
      </c>
      <c r="U227" s="66" t="e">
        <f t="shared" ca="1" si="117"/>
        <v>#DIV/0!</v>
      </c>
      <c r="V227" s="66">
        <f t="shared" ca="1" si="118"/>
        <v>0.3</v>
      </c>
      <c r="W227" s="70">
        <f t="shared" si="119"/>
        <v>1.263157894736842</v>
      </c>
      <c r="X227" s="70">
        <f t="shared" si="120"/>
        <v>0.84210526315789469</v>
      </c>
      <c r="Y227" s="70">
        <f t="shared" si="121"/>
        <v>0.2807017543859649</v>
      </c>
      <c r="Z227" s="70">
        <f t="shared" si="122"/>
        <v>1.052631578947369</v>
      </c>
      <c r="AA227" s="70">
        <f t="shared" si="123"/>
        <v>0.35087719298245612</v>
      </c>
      <c r="AB227" s="70">
        <f t="shared" si="124"/>
        <v>1.1052631578947369</v>
      </c>
      <c r="AC227" s="70">
        <f t="shared" si="125"/>
        <v>0</v>
      </c>
      <c r="AD227" s="71">
        <f t="shared" si="126"/>
        <v>1.0526315789473684</v>
      </c>
      <c r="AE227" s="72">
        <f t="shared" si="127"/>
        <v>0.6</v>
      </c>
      <c r="AF227" s="72">
        <f t="shared" ca="1" si="128"/>
        <v>0.7</v>
      </c>
      <c r="AG227" s="73">
        <f t="shared" ca="1" si="129"/>
        <v>0.6333333333333333</v>
      </c>
      <c r="AH227" s="456">
        <f t="shared" si="130"/>
        <v>5.9473684210526319</v>
      </c>
      <c r="AI227" s="467">
        <f t="shared" ca="1" si="131"/>
        <v>37.666666666666664</v>
      </c>
      <c r="AJ227" s="458" t="str">
        <f t="shared" ca="1" si="132"/>
        <v>Q4</v>
      </c>
      <c r="AK227" s="95" t="s">
        <v>1116</v>
      </c>
      <c r="AL227" s="110"/>
      <c r="AM227" s="107"/>
      <c r="AN227" s="105"/>
      <c r="AO227" s="105"/>
      <c r="AP227" s="105"/>
      <c r="AQ227" s="495">
        <v>2600555</v>
      </c>
      <c r="AR227" s="436"/>
      <c r="AS227" s="437"/>
      <c r="AT227" s="437"/>
      <c r="AU227" s="437"/>
      <c r="AV227" s="437">
        <f>AQ227*(1+Efactor)^4</f>
        <v>2984196.6768903462</v>
      </c>
      <c r="AW227" s="94"/>
    </row>
    <row r="228" spans="1:49" ht="36" customHeight="1">
      <c r="A228" s="5">
        <v>308</v>
      </c>
      <c r="B228" s="625">
        <v>125</v>
      </c>
      <c r="C228" s="6" t="s">
        <v>20</v>
      </c>
      <c r="D228" s="371" t="s">
        <v>417</v>
      </c>
      <c r="E228" s="32" t="s">
        <v>1317</v>
      </c>
      <c r="F228" s="23" t="s">
        <v>1318</v>
      </c>
      <c r="G228" s="13"/>
      <c r="H228" s="603">
        <v>75000</v>
      </c>
      <c r="I228" s="50">
        <v>4</v>
      </c>
      <c r="J228" s="55">
        <v>0.3</v>
      </c>
      <c r="K228" s="49"/>
      <c r="L228" s="56"/>
      <c r="M228" s="61">
        <v>8</v>
      </c>
      <c r="N228" s="62">
        <v>5</v>
      </c>
      <c r="O228" s="62">
        <v>2</v>
      </c>
      <c r="P228" s="62">
        <v>9</v>
      </c>
      <c r="Q228" s="62">
        <v>5</v>
      </c>
      <c r="R228" s="62">
        <v>5</v>
      </c>
      <c r="S228" s="62">
        <v>1</v>
      </c>
      <c r="T228" s="63">
        <v>10</v>
      </c>
      <c r="U228" s="66" t="e">
        <f t="shared" ca="1" si="117"/>
        <v>#DIV/0!</v>
      </c>
      <c r="V228" s="66">
        <f t="shared" ca="1" si="118"/>
        <v>0.3</v>
      </c>
      <c r="W228" s="70">
        <f t="shared" si="119"/>
        <v>1.263157894736842</v>
      </c>
      <c r="X228" s="70">
        <f t="shared" si="120"/>
        <v>0.52631578947368418</v>
      </c>
      <c r="Y228" s="70">
        <f t="shared" si="121"/>
        <v>0.2807017543859649</v>
      </c>
      <c r="Z228" s="70">
        <f t="shared" si="122"/>
        <v>1.5789473684210527</v>
      </c>
      <c r="AA228" s="70">
        <f t="shared" si="123"/>
        <v>0.43859649122807015</v>
      </c>
      <c r="AB228" s="70">
        <f t="shared" si="124"/>
        <v>0.61403508771929827</v>
      </c>
      <c r="AC228" s="70">
        <f t="shared" si="125"/>
        <v>0.10526315789473684</v>
      </c>
      <c r="AD228" s="71">
        <f t="shared" si="126"/>
        <v>1.0526315789473684</v>
      </c>
      <c r="AE228" s="72">
        <f t="shared" si="127"/>
        <v>0.6</v>
      </c>
      <c r="AF228" s="72">
        <f t="shared" ca="1" si="128"/>
        <v>0.7</v>
      </c>
      <c r="AG228" s="73">
        <f t="shared" ca="1" si="129"/>
        <v>0.6333333333333333</v>
      </c>
      <c r="AH228" s="456">
        <f t="shared" si="130"/>
        <v>5.8596491228070171</v>
      </c>
      <c r="AI228" s="467">
        <f t="shared" ca="1" si="131"/>
        <v>37.111111111111107</v>
      </c>
      <c r="AJ228" s="458" t="str">
        <f t="shared" ca="1" si="132"/>
        <v>Q4</v>
      </c>
      <c r="AK228" s="95" t="s">
        <v>1116</v>
      </c>
      <c r="AL228" s="573"/>
      <c r="AM228" s="117"/>
      <c r="AN228" s="113"/>
      <c r="AO228" s="113"/>
      <c r="AP228" s="113"/>
      <c r="AQ228" s="121">
        <v>65358</v>
      </c>
      <c r="AR228" s="436"/>
      <c r="AS228" s="437"/>
      <c r="AT228" s="437"/>
      <c r="AU228" s="437"/>
      <c r="AV228" s="437">
        <f>AQ228*(1+Efactor)^4</f>
        <v>74999.808274848736</v>
      </c>
      <c r="AW228" s="94"/>
    </row>
    <row r="229" spans="1:49" ht="36" customHeight="1">
      <c r="A229" s="5"/>
      <c r="B229" s="625">
        <v>135</v>
      </c>
      <c r="C229" s="6" t="s">
        <v>20</v>
      </c>
      <c r="D229" s="371" t="s">
        <v>417</v>
      </c>
      <c r="E229" s="18" t="s">
        <v>1128</v>
      </c>
      <c r="F229" s="20" t="s">
        <v>1133</v>
      </c>
      <c r="G229" s="20"/>
      <c r="H229" s="604">
        <v>150000</v>
      </c>
      <c r="I229" s="50">
        <v>3</v>
      </c>
      <c r="J229" s="55">
        <v>0.3</v>
      </c>
      <c r="K229" s="49"/>
      <c r="L229" s="56"/>
      <c r="M229" s="61">
        <v>4</v>
      </c>
      <c r="N229" s="62">
        <v>6</v>
      </c>
      <c r="O229" s="62">
        <v>1</v>
      </c>
      <c r="P229" s="62">
        <v>8</v>
      </c>
      <c r="Q229" s="62">
        <v>2</v>
      </c>
      <c r="R229" s="62">
        <v>10</v>
      </c>
      <c r="S229" s="62">
        <v>0</v>
      </c>
      <c r="T229" s="63">
        <v>10</v>
      </c>
      <c r="U229" s="66" t="e">
        <f t="shared" ca="1" si="117"/>
        <v>#DIV/0!</v>
      </c>
      <c r="V229" s="66">
        <f t="shared" ca="1" si="118"/>
        <v>0.3</v>
      </c>
      <c r="W229" s="70">
        <f t="shared" si="119"/>
        <v>0.63157894736842102</v>
      </c>
      <c r="X229" s="70">
        <f t="shared" si="120"/>
        <v>0.63157894736842102</v>
      </c>
      <c r="Y229" s="70">
        <f t="shared" si="121"/>
        <v>0.14035087719298245</v>
      </c>
      <c r="Z229" s="70">
        <f t="shared" si="122"/>
        <v>1.4035087719298245</v>
      </c>
      <c r="AA229" s="70">
        <f t="shared" si="123"/>
        <v>0.17543859649122806</v>
      </c>
      <c r="AB229" s="70">
        <f t="shared" si="124"/>
        <v>1.2280701754385965</v>
      </c>
      <c r="AC229" s="70">
        <f t="shared" si="125"/>
        <v>0</v>
      </c>
      <c r="AD229" s="71">
        <f t="shared" si="126"/>
        <v>1.0526315789473684</v>
      </c>
      <c r="AE229" s="72">
        <f t="shared" si="127"/>
        <v>0.7</v>
      </c>
      <c r="AF229" s="72">
        <f t="shared" ca="1" si="128"/>
        <v>0.7</v>
      </c>
      <c r="AG229" s="73">
        <f t="shared" ca="1" si="129"/>
        <v>0.69999999999999984</v>
      </c>
      <c r="AH229" s="456">
        <f t="shared" si="130"/>
        <v>5.2631578947368416</v>
      </c>
      <c r="AI229" s="467">
        <f t="shared" ca="1" si="131"/>
        <v>36.842105263157883</v>
      </c>
      <c r="AJ229" s="458" t="str">
        <f t="shared" ca="1" si="132"/>
        <v>Q4</v>
      </c>
      <c r="AK229" s="95" t="s">
        <v>1116</v>
      </c>
      <c r="AL229" s="572"/>
      <c r="AM229" s="117"/>
      <c r="AN229" s="113"/>
      <c r="AO229" s="113"/>
      <c r="AP229" s="113"/>
      <c r="AQ229" s="121">
        <v>130716</v>
      </c>
      <c r="AR229" s="438"/>
      <c r="AS229" s="437"/>
      <c r="AT229" s="437"/>
      <c r="AU229" s="437"/>
      <c r="AV229" s="437">
        <f>AQ229*(1+Efactor)^4</f>
        <v>149999.61654969747</v>
      </c>
      <c r="AW229" s="94"/>
    </row>
    <row r="230" spans="1:49" ht="36" customHeight="1">
      <c r="A230" s="5">
        <v>149</v>
      </c>
      <c r="B230" s="625">
        <v>212</v>
      </c>
      <c r="C230" s="6" t="s">
        <v>20</v>
      </c>
      <c r="D230" s="371" t="s">
        <v>417</v>
      </c>
      <c r="E230" s="29" t="s">
        <v>138</v>
      </c>
      <c r="F230" s="23" t="s">
        <v>1188</v>
      </c>
      <c r="G230" s="13" t="s">
        <v>61</v>
      </c>
      <c r="H230" s="600">
        <v>500000</v>
      </c>
      <c r="I230" s="50">
        <v>4</v>
      </c>
      <c r="J230" s="55">
        <v>0.3</v>
      </c>
      <c r="K230" s="49"/>
      <c r="L230" s="56"/>
      <c r="M230" s="61">
        <v>6.0000000000000036</v>
      </c>
      <c r="N230" s="62">
        <v>6.0000000000000036</v>
      </c>
      <c r="O230" s="62">
        <v>6.0000000000000036</v>
      </c>
      <c r="P230" s="62">
        <v>6.0000000000000036</v>
      </c>
      <c r="Q230" s="62">
        <v>4.0000000000000027</v>
      </c>
      <c r="R230" s="62">
        <v>6.0000000000000036</v>
      </c>
      <c r="S230" s="62">
        <v>0</v>
      </c>
      <c r="T230" s="63">
        <v>7</v>
      </c>
      <c r="U230" s="66" t="e">
        <f t="shared" ca="1" si="117"/>
        <v>#DIV/0!</v>
      </c>
      <c r="V230" s="66">
        <f t="shared" ca="1" si="118"/>
        <v>0.3</v>
      </c>
      <c r="W230" s="70">
        <f t="shared" si="119"/>
        <v>0.94736842105263208</v>
      </c>
      <c r="X230" s="70">
        <f t="shared" si="120"/>
        <v>0.63157894736842146</v>
      </c>
      <c r="Y230" s="70">
        <f t="shared" si="121"/>
        <v>0.84210526315789525</v>
      </c>
      <c r="Z230" s="70">
        <f t="shared" si="122"/>
        <v>1.052631578947369</v>
      </c>
      <c r="AA230" s="70">
        <f t="shared" si="123"/>
        <v>0.3508771929824564</v>
      </c>
      <c r="AB230" s="70">
        <f t="shared" si="124"/>
        <v>0.73684210526315841</v>
      </c>
      <c r="AC230" s="70">
        <f t="shared" si="125"/>
        <v>0</v>
      </c>
      <c r="AD230" s="71">
        <f t="shared" si="126"/>
        <v>0.73684210526315785</v>
      </c>
      <c r="AE230" s="72">
        <f t="shared" si="127"/>
        <v>0.6</v>
      </c>
      <c r="AF230" s="72">
        <f t="shared" ca="1" si="128"/>
        <v>0.7</v>
      </c>
      <c r="AG230" s="73">
        <f t="shared" ca="1" si="129"/>
        <v>0.6333333333333333</v>
      </c>
      <c r="AH230" s="456">
        <f t="shared" si="130"/>
        <v>5.29824561403509</v>
      </c>
      <c r="AI230" s="467">
        <f t="shared" ca="1" si="131"/>
        <v>33.555555555555571</v>
      </c>
      <c r="AJ230" s="458" t="str">
        <f t="shared" ca="1" si="132"/>
        <v>Q4</v>
      </c>
      <c r="AK230" s="95" t="s">
        <v>1116</v>
      </c>
      <c r="AL230" s="572"/>
      <c r="AM230" s="117"/>
      <c r="AN230" s="113"/>
      <c r="AO230" s="113"/>
      <c r="AP230" s="113"/>
      <c r="AQ230" s="121"/>
      <c r="AR230" s="438"/>
      <c r="AS230" s="437"/>
      <c r="AT230" s="437"/>
      <c r="AU230" s="437"/>
      <c r="AV230" s="437"/>
      <c r="AW230" s="94"/>
    </row>
    <row r="231" spans="1:49" ht="36" customHeight="1">
      <c r="A231" s="5">
        <v>195</v>
      </c>
      <c r="B231" s="625">
        <v>213</v>
      </c>
      <c r="C231" s="6" t="s">
        <v>20</v>
      </c>
      <c r="D231" s="371" t="s">
        <v>417</v>
      </c>
      <c r="E231" s="29" t="s">
        <v>139</v>
      </c>
      <c r="F231" s="23" t="s">
        <v>1187</v>
      </c>
      <c r="G231" s="13" t="s">
        <v>61</v>
      </c>
      <c r="H231" s="600">
        <v>500000</v>
      </c>
      <c r="I231" s="50">
        <v>4</v>
      </c>
      <c r="J231" s="55">
        <v>0.3</v>
      </c>
      <c r="K231" s="49"/>
      <c r="L231" s="56"/>
      <c r="M231" s="61">
        <v>6.0000000000000036</v>
      </c>
      <c r="N231" s="62">
        <v>6.0000000000000036</v>
      </c>
      <c r="O231" s="62">
        <v>6.0000000000000036</v>
      </c>
      <c r="P231" s="62">
        <v>6.0000000000000036</v>
      </c>
      <c r="Q231" s="62">
        <v>4.0000000000000027</v>
      </c>
      <c r="R231" s="62">
        <v>6.0000000000000036</v>
      </c>
      <c r="S231" s="62">
        <v>0</v>
      </c>
      <c r="T231" s="63">
        <v>7</v>
      </c>
      <c r="U231" s="66" t="e">
        <f t="shared" ca="1" si="117"/>
        <v>#DIV/0!</v>
      </c>
      <c r="V231" s="66">
        <f t="shared" ca="1" si="118"/>
        <v>0.3</v>
      </c>
      <c r="W231" s="70">
        <f t="shared" si="119"/>
        <v>0.94736842105263208</v>
      </c>
      <c r="X231" s="70">
        <f t="shared" si="120"/>
        <v>0.63157894736842146</v>
      </c>
      <c r="Y231" s="70">
        <f t="shared" si="121"/>
        <v>0.84210526315789525</v>
      </c>
      <c r="Z231" s="70">
        <f t="shared" si="122"/>
        <v>1.052631578947369</v>
      </c>
      <c r="AA231" s="70">
        <f t="shared" si="123"/>
        <v>0.3508771929824564</v>
      </c>
      <c r="AB231" s="70">
        <f t="shared" si="124"/>
        <v>0.73684210526315841</v>
      </c>
      <c r="AC231" s="70">
        <f t="shared" si="125"/>
        <v>0</v>
      </c>
      <c r="AD231" s="71">
        <f t="shared" si="126"/>
        <v>0.73684210526315785</v>
      </c>
      <c r="AE231" s="72">
        <f t="shared" si="127"/>
        <v>0.6</v>
      </c>
      <c r="AF231" s="72">
        <f t="shared" ca="1" si="128"/>
        <v>0.7</v>
      </c>
      <c r="AG231" s="73">
        <f t="shared" ca="1" si="129"/>
        <v>0.6333333333333333</v>
      </c>
      <c r="AH231" s="456">
        <f t="shared" si="130"/>
        <v>5.29824561403509</v>
      </c>
      <c r="AI231" s="467">
        <f t="shared" ca="1" si="131"/>
        <v>33.555555555555571</v>
      </c>
      <c r="AJ231" s="458" t="str">
        <f t="shared" ca="1" si="132"/>
        <v>Q4</v>
      </c>
      <c r="AK231" s="95" t="s">
        <v>1116</v>
      </c>
      <c r="AL231" s="572"/>
      <c r="AM231" s="117"/>
      <c r="AN231" s="113"/>
      <c r="AO231" s="113"/>
      <c r="AP231" s="113"/>
      <c r="AQ231" s="121"/>
      <c r="AR231" s="436"/>
      <c r="AS231" s="437"/>
      <c r="AT231" s="437"/>
      <c r="AU231" s="437"/>
      <c r="AV231" s="437"/>
      <c r="AW231" s="94"/>
    </row>
    <row r="232" spans="1:49" ht="36" customHeight="1">
      <c r="A232" s="5"/>
      <c r="B232" s="743" t="s">
        <v>1564</v>
      </c>
      <c r="C232" s="744"/>
      <c r="D232" s="744"/>
      <c r="E232" s="744"/>
      <c r="F232" s="745"/>
      <c r="G232" s="13"/>
      <c r="H232" s="600"/>
      <c r="I232" s="50"/>
      <c r="J232" s="55"/>
      <c r="K232" s="49"/>
      <c r="L232" s="56"/>
      <c r="M232" s="61"/>
      <c r="N232" s="62"/>
      <c r="O232" s="62"/>
      <c r="P232" s="62"/>
      <c r="Q232" s="62"/>
      <c r="R232" s="62"/>
      <c r="S232" s="62"/>
      <c r="T232" s="63"/>
      <c r="U232" s="66"/>
      <c r="V232" s="66"/>
      <c r="W232" s="70"/>
      <c r="X232" s="70"/>
      <c r="Y232" s="70"/>
      <c r="Z232" s="70"/>
      <c r="AA232" s="70"/>
      <c r="AB232" s="70"/>
      <c r="AC232" s="70"/>
      <c r="AD232" s="71"/>
      <c r="AE232" s="72"/>
      <c r="AF232" s="72"/>
      <c r="AG232" s="73"/>
      <c r="AH232" s="456"/>
      <c r="AI232" s="467"/>
      <c r="AJ232" s="458"/>
      <c r="AK232" s="95"/>
      <c r="AL232" s="572"/>
      <c r="AM232" s="117"/>
      <c r="AN232" s="113"/>
      <c r="AO232" s="113"/>
      <c r="AP232" s="113"/>
      <c r="AQ232" s="121"/>
      <c r="AR232" s="436"/>
      <c r="AS232" s="437"/>
      <c r="AT232" s="437"/>
      <c r="AU232" s="437"/>
      <c r="AV232" s="437"/>
      <c r="AW232" s="94"/>
    </row>
    <row r="233" spans="1:49" ht="36" customHeight="1">
      <c r="A233" s="5">
        <v>192</v>
      </c>
      <c r="B233" s="625">
        <v>77</v>
      </c>
      <c r="C233" s="669" t="s">
        <v>18</v>
      </c>
      <c r="D233" s="665"/>
      <c r="E233" s="10" t="s">
        <v>1516</v>
      </c>
      <c r="F233" s="17" t="s">
        <v>1530</v>
      </c>
      <c r="G233" s="666"/>
      <c r="H233" s="680" t="s">
        <v>1544</v>
      </c>
      <c r="I233" s="50">
        <v>2</v>
      </c>
      <c r="J233" s="55">
        <v>0.1</v>
      </c>
      <c r="K233" s="49"/>
      <c r="L233" s="56"/>
      <c r="M233" s="61">
        <v>2</v>
      </c>
      <c r="N233" s="62">
        <v>8</v>
      </c>
      <c r="O233" s="62">
        <v>5</v>
      </c>
      <c r="P233" s="62">
        <v>7</v>
      </c>
      <c r="Q233" s="62">
        <v>1</v>
      </c>
      <c r="R233" s="62">
        <v>10</v>
      </c>
      <c r="S233" s="62">
        <v>0</v>
      </c>
      <c r="T233" s="63">
        <v>9</v>
      </c>
      <c r="U233" s="66" t="e">
        <f t="shared" ref="U233:U268" ca="1" si="133">(L233-(YEAR(TODAY())-K233))/L233</f>
        <v>#DIV/0!</v>
      </c>
      <c r="V233" s="66">
        <f t="shared" ref="V233:V268" ca="1" si="134">IFERROR(U233,J233)</f>
        <v>0.1</v>
      </c>
      <c r="W233" s="70">
        <f t="shared" ref="W233:W268" si="135">M233*Weight1/(WSum)</f>
        <v>0.31578947368421051</v>
      </c>
      <c r="X233" s="70">
        <f t="shared" ref="X233:X268" si="136">N233*Weight2/(WSum)</f>
        <v>0.84210526315789469</v>
      </c>
      <c r="Y233" s="70">
        <f t="shared" ref="Y233:Y268" si="137">O233*Weight3/(WSum)</f>
        <v>0.70175438596491224</v>
      </c>
      <c r="Z233" s="70">
        <f t="shared" ref="Z233:Z268" si="138">P233*Weight4/(WSum)</f>
        <v>1.2280701754385965</v>
      </c>
      <c r="AA233" s="70">
        <f t="shared" ref="AA233:AA268" si="139">Q233*Weight5/(WSum)</f>
        <v>8.771929824561403E-2</v>
      </c>
      <c r="AB233" s="70">
        <f t="shared" ref="AB233:AB268" si="140">R233*Weight6/(WSum)</f>
        <v>1.2280701754385965</v>
      </c>
      <c r="AC233" s="70">
        <f t="shared" ref="AC233:AC268" si="141">S233*Weight7/(WSum)</f>
        <v>0</v>
      </c>
      <c r="AD233" s="71">
        <f t="shared" ref="AD233:AD268" si="142">T233*Weight8/(WSum)</f>
        <v>0.94736842105263153</v>
      </c>
      <c r="AE233" s="72">
        <f t="shared" ref="AE233:AE268" si="143">-1/10*I233+1</f>
        <v>0.8</v>
      </c>
      <c r="AF233" s="72">
        <f t="shared" ref="AF233:AF268" ca="1" si="144">IF(V233&lt;0,0,-V233+1)</f>
        <v>0.9</v>
      </c>
      <c r="AG233" s="73">
        <f t="shared" ref="AG233:AG268" ca="1" si="145">(AE233*CondWeight+AF233*PLifeWeight)/(CondWeight+PLifeWeight)</f>
        <v>0.83333333333333337</v>
      </c>
      <c r="AH233" s="456">
        <f t="shared" ref="AH233:AH268" si="146">SUM(W233:AD233)</f>
        <v>5.3508771929824563</v>
      </c>
      <c r="AI233" s="467">
        <f t="shared" ref="AI233:AI268" ca="1" si="147">AH233*AG233*10</f>
        <v>44.590643274853804</v>
      </c>
      <c r="AJ233" s="458" t="str">
        <f t="shared" ref="AJ233:AJ268" ca="1" si="148">IF(AG233&gt;$AG$2,IF(AH233&gt;$AH$2,"Q1","Q2"),IF(AH233&gt;$AH$2,"Q3","Q4"))</f>
        <v>Q2</v>
      </c>
      <c r="AK233" s="670" t="s">
        <v>370</v>
      </c>
      <c r="AL233" s="571"/>
      <c r="AM233" s="117"/>
      <c r="AN233" s="113"/>
      <c r="AO233" s="113"/>
      <c r="AP233" s="113"/>
      <c r="AQ233" s="121"/>
      <c r="AR233" s="436"/>
      <c r="AS233" s="437"/>
      <c r="AT233" s="437"/>
      <c r="AU233" s="437"/>
      <c r="AV233" s="437"/>
      <c r="AW233" s="94"/>
    </row>
    <row r="234" spans="1:49" ht="36" customHeight="1">
      <c r="A234" s="5">
        <v>254</v>
      </c>
      <c r="B234" s="625">
        <v>80</v>
      </c>
      <c r="C234" s="14" t="s">
        <v>8</v>
      </c>
      <c r="D234" s="442" t="s">
        <v>7</v>
      </c>
      <c r="E234" s="7" t="s">
        <v>38</v>
      </c>
      <c r="F234" s="17" t="s">
        <v>1348</v>
      </c>
      <c r="G234" s="17" t="s">
        <v>39</v>
      </c>
      <c r="H234" s="603">
        <v>1000000</v>
      </c>
      <c r="I234" s="50">
        <v>3</v>
      </c>
      <c r="J234" s="55">
        <v>0.1</v>
      </c>
      <c r="K234" s="49"/>
      <c r="L234" s="56"/>
      <c r="M234" s="61">
        <v>6</v>
      </c>
      <c r="N234" s="62">
        <v>5</v>
      </c>
      <c r="O234" s="62">
        <v>4</v>
      </c>
      <c r="P234" s="62">
        <v>4</v>
      </c>
      <c r="Q234" s="62">
        <v>8</v>
      </c>
      <c r="R234" s="62">
        <v>5</v>
      </c>
      <c r="S234" s="62">
        <v>6</v>
      </c>
      <c r="T234" s="63">
        <v>8</v>
      </c>
      <c r="U234" s="66" t="e">
        <f t="shared" ca="1" si="133"/>
        <v>#DIV/0!</v>
      </c>
      <c r="V234" s="66">
        <f t="shared" ca="1" si="134"/>
        <v>0.1</v>
      </c>
      <c r="W234" s="70">
        <f t="shared" si="135"/>
        <v>0.94736842105263153</v>
      </c>
      <c r="X234" s="70">
        <f t="shared" si="136"/>
        <v>0.52631578947368418</v>
      </c>
      <c r="Y234" s="70">
        <f t="shared" si="137"/>
        <v>0.56140350877192979</v>
      </c>
      <c r="Z234" s="70">
        <f t="shared" si="138"/>
        <v>0.70175438596491224</v>
      </c>
      <c r="AA234" s="70">
        <f t="shared" si="139"/>
        <v>0.70175438596491224</v>
      </c>
      <c r="AB234" s="70">
        <f t="shared" si="140"/>
        <v>0.61403508771929827</v>
      </c>
      <c r="AC234" s="70">
        <f t="shared" si="141"/>
        <v>0.63157894736842102</v>
      </c>
      <c r="AD234" s="71">
        <f t="shared" si="142"/>
        <v>0.84210526315789469</v>
      </c>
      <c r="AE234" s="72">
        <f t="shared" si="143"/>
        <v>0.7</v>
      </c>
      <c r="AF234" s="72">
        <f t="shared" ca="1" si="144"/>
        <v>0.9</v>
      </c>
      <c r="AG234" s="73">
        <f t="shared" ca="1" si="145"/>
        <v>0.76666666666666661</v>
      </c>
      <c r="AH234" s="456">
        <f t="shared" si="146"/>
        <v>5.5263157894736841</v>
      </c>
      <c r="AI234" s="467">
        <f t="shared" ca="1" si="147"/>
        <v>42.368421052631575</v>
      </c>
      <c r="AJ234" s="458" t="str">
        <f t="shared" ca="1" si="148"/>
        <v>Q2</v>
      </c>
      <c r="AK234" s="95" t="s">
        <v>370</v>
      </c>
      <c r="AL234" s="572"/>
      <c r="AM234" s="117"/>
      <c r="AN234" s="113">
        <v>500000</v>
      </c>
      <c r="AO234" s="113">
        <v>500000</v>
      </c>
      <c r="AP234" s="113"/>
      <c r="AQ234" s="121"/>
      <c r="AR234" s="436"/>
      <c r="AS234" s="437">
        <f>AN234*(1+Efactor)</f>
        <v>517499.99999999994</v>
      </c>
      <c r="AT234" s="437">
        <f>AO234*(1+Efactor)^2</f>
        <v>535612.49999999988</v>
      </c>
      <c r="AU234" s="437"/>
      <c r="AV234" s="437"/>
      <c r="AW234" s="94"/>
    </row>
    <row r="235" spans="1:49" ht="36" customHeight="1">
      <c r="A235" s="1"/>
      <c r="B235" s="625">
        <v>98</v>
      </c>
      <c r="C235" s="6" t="s">
        <v>18</v>
      </c>
      <c r="D235" s="370" t="s">
        <v>7</v>
      </c>
      <c r="E235" s="374" t="s">
        <v>1373</v>
      </c>
      <c r="F235" s="375" t="s">
        <v>1209</v>
      </c>
      <c r="G235" s="375" t="s">
        <v>40</v>
      </c>
      <c r="H235" s="601">
        <v>217000</v>
      </c>
      <c r="I235" s="380">
        <v>3</v>
      </c>
      <c r="J235" s="377">
        <v>0</v>
      </c>
      <c r="K235" s="376"/>
      <c r="L235" s="378"/>
      <c r="M235" s="61">
        <v>6</v>
      </c>
      <c r="N235" s="62">
        <v>6.0000000000000036</v>
      </c>
      <c r="O235" s="62">
        <v>4</v>
      </c>
      <c r="P235" s="62">
        <v>2</v>
      </c>
      <c r="Q235" s="62">
        <v>6.0000000000000036</v>
      </c>
      <c r="R235" s="62">
        <v>5</v>
      </c>
      <c r="S235" s="62">
        <v>5</v>
      </c>
      <c r="T235" s="63">
        <v>8</v>
      </c>
      <c r="U235" s="379" t="e">
        <f t="shared" ca="1" si="133"/>
        <v>#DIV/0!</v>
      </c>
      <c r="V235" s="379">
        <f t="shared" ca="1" si="134"/>
        <v>0</v>
      </c>
      <c r="W235" s="70">
        <f t="shared" si="135"/>
        <v>0.94736842105263153</v>
      </c>
      <c r="X235" s="70">
        <f t="shared" si="136"/>
        <v>0.63157894736842146</v>
      </c>
      <c r="Y235" s="70">
        <f t="shared" si="137"/>
        <v>0.56140350877192979</v>
      </c>
      <c r="Z235" s="70">
        <f t="shared" si="138"/>
        <v>0.35087719298245612</v>
      </c>
      <c r="AA235" s="70">
        <f t="shared" si="139"/>
        <v>0.52631578947368451</v>
      </c>
      <c r="AB235" s="70">
        <f t="shared" si="140"/>
        <v>0.61403508771929827</v>
      </c>
      <c r="AC235" s="70">
        <f t="shared" si="141"/>
        <v>0.52631578947368418</v>
      </c>
      <c r="AD235" s="71">
        <f t="shared" si="142"/>
        <v>0.84210526315789469</v>
      </c>
      <c r="AE235" s="72">
        <f t="shared" si="143"/>
        <v>0.7</v>
      </c>
      <c r="AF235" s="72">
        <f t="shared" ca="1" si="144"/>
        <v>1</v>
      </c>
      <c r="AG235" s="73">
        <f t="shared" ca="1" si="145"/>
        <v>0.79999999999999993</v>
      </c>
      <c r="AH235" s="455">
        <f t="shared" si="146"/>
        <v>5.0000000000000009</v>
      </c>
      <c r="AI235" s="466">
        <f t="shared" ca="1" si="147"/>
        <v>40</v>
      </c>
      <c r="AJ235" s="458" t="str">
        <f t="shared" ca="1" si="148"/>
        <v>Q2</v>
      </c>
      <c r="AK235" s="373" t="s">
        <v>370</v>
      </c>
      <c r="AL235" s="111"/>
      <c r="AM235" s="117"/>
      <c r="AN235" s="113"/>
      <c r="AO235" s="113"/>
      <c r="AP235" s="113">
        <v>217000</v>
      </c>
      <c r="AQ235" s="121"/>
      <c r="AR235" s="436"/>
      <c r="AS235" s="437"/>
      <c r="AT235" s="437"/>
      <c r="AU235" s="437">
        <f>AP235*(1+Efactor)^3</f>
        <v>240591.77887499993</v>
      </c>
      <c r="AV235" s="437"/>
      <c r="AW235" s="92"/>
    </row>
    <row r="236" spans="1:49" ht="36" customHeight="1">
      <c r="A236" s="5">
        <v>291</v>
      </c>
      <c r="B236" s="625">
        <v>100</v>
      </c>
      <c r="C236" s="396" t="s">
        <v>44</v>
      </c>
      <c r="D236" s="372" t="s">
        <v>7</v>
      </c>
      <c r="E236" s="15" t="s">
        <v>45</v>
      </c>
      <c r="F236" s="24" t="s">
        <v>1557</v>
      </c>
      <c r="G236" s="24" t="s">
        <v>46</v>
      </c>
      <c r="H236" s="683">
        <v>716000</v>
      </c>
      <c r="I236" s="51">
        <v>2</v>
      </c>
      <c r="J236" s="55">
        <v>0</v>
      </c>
      <c r="K236" s="49"/>
      <c r="L236" s="56"/>
      <c r="M236" s="61">
        <v>2</v>
      </c>
      <c r="N236" s="62">
        <v>6</v>
      </c>
      <c r="O236" s="62">
        <v>2</v>
      </c>
      <c r="P236" s="62">
        <v>6</v>
      </c>
      <c r="Q236" s="62">
        <v>8.0000000000000053</v>
      </c>
      <c r="R236" s="62">
        <v>4</v>
      </c>
      <c r="S236" s="62">
        <v>2</v>
      </c>
      <c r="T236" s="63">
        <v>8.0000000000000053</v>
      </c>
      <c r="U236" s="66" t="e">
        <f t="shared" ca="1" si="133"/>
        <v>#DIV/0!</v>
      </c>
      <c r="V236" s="66">
        <f t="shared" ca="1" si="134"/>
        <v>0</v>
      </c>
      <c r="W236" s="70">
        <f t="shared" si="135"/>
        <v>0.31578947368421051</v>
      </c>
      <c r="X236" s="70">
        <f t="shared" si="136"/>
        <v>0.63157894736842102</v>
      </c>
      <c r="Y236" s="70">
        <f t="shared" si="137"/>
        <v>0.2807017543859649</v>
      </c>
      <c r="Z236" s="70">
        <f t="shared" si="138"/>
        <v>1.0526315789473684</v>
      </c>
      <c r="AA236" s="70">
        <f t="shared" si="139"/>
        <v>0.7017543859649128</v>
      </c>
      <c r="AB236" s="70">
        <f t="shared" si="140"/>
        <v>0.49122807017543857</v>
      </c>
      <c r="AC236" s="70">
        <f t="shared" si="141"/>
        <v>0.21052631578947367</v>
      </c>
      <c r="AD236" s="71">
        <f t="shared" si="142"/>
        <v>0.84210526315789525</v>
      </c>
      <c r="AE236" s="72">
        <f t="shared" si="143"/>
        <v>0.8</v>
      </c>
      <c r="AF236" s="72">
        <f t="shared" ca="1" si="144"/>
        <v>1</v>
      </c>
      <c r="AG236" s="73">
        <f t="shared" ca="1" si="145"/>
        <v>0.8666666666666667</v>
      </c>
      <c r="AH236" s="456">
        <f t="shared" si="146"/>
        <v>4.526315789473685</v>
      </c>
      <c r="AI236" s="467">
        <f t="shared" ca="1" si="147"/>
        <v>39.228070175438603</v>
      </c>
      <c r="AJ236" s="458" t="str">
        <f t="shared" ca="1" si="148"/>
        <v>Q2</v>
      </c>
      <c r="AK236" s="96" t="s">
        <v>370</v>
      </c>
      <c r="AL236" s="687">
        <v>89000</v>
      </c>
      <c r="AM236" s="117"/>
      <c r="AN236" s="113"/>
      <c r="AO236" s="113"/>
      <c r="AP236" s="113"/>
      <c r="AQ236" s="121"/>
      <c r="AR236" s="436">
        <v>627000</v>
      </c>
      <c r="AS236" s="437"/>
      <c r="AT236" s="437"/>
      <c r="AU236" s="437"/>
      <c r="AV236" s="437"/>
      <c r="AW236" s="94"/>
    </row>
    <row r="237" spans="1:49" ht="36" customHeight="1">
      <c r="A237" s="5">
        <v>160</v>
      </c>
      <c r="B237" s="625">
        <v>101</v>
      </c>
      <c r="C237" s="6" t="s">
        <v>20</v>
      </c>
      <c r="D237" s="371" t="s">
        <v>1334</v>
      </c>
      <c r="E237" s="10" t="s">
        <v>1488</v>
      </c>
      <c r="F237" s="23" t="s">
        <v>1505</v>
      </c>
      <c r="G237" s="132" t="s">
        <v>253</v>
      </c>
      <c r="H237" s="603">
        <v>100000</v>
      </c>
      <c r="I237" s="50">
        <v>3</v>
      </c>
      <c r="J237" s="55">
        <v>0.2</v>
      </c>
      <c r="K237" s="49"/>
      <c r="L237" s="56"/>
      <c r="M237" s="61">
        <v>8.0000000000000053</v>
      </c>
      <c r="N237" s="62">
        <v>8.0000000000000053</v>
      </c>
      <c r="O237" s="62">
        <v>4.0000000000000027</v>
      </c>
      <c r="P237" s="62">
        <v>2</v>
      </c>
      <c r="Q237" s="62">
        <v>6</v>
      </c>
      <c r="R237" s="62">
        <v>6.0000000000000036</v>
      </c>
      <c r="S237" s="62">
        <v>0</v>
      </c>
      <c r="T237" s="63">
        <v>9.9999999999999982</v>
      </c>
      <c r="U237" s="66" t="e">
        <f t="shared" ca="1" si="133"/>
        <v>#DIV/0!</v>
      </c>
      <c r="V237" s="66">
        <f t="shared" ca="1" si="134"/>
        <v>0.2</v>
      </c>
      <c r="W237" s="70">
        <f t="shared" si="135"/>
        <v>1.2631578947368429</v>
      </c>
      <c r="X237" s="70">
        <f t="shared" si="136"/>
        <v>0.84210526315789525</v>
      </c>
      <c r="Y237" s="70">
        <f t="shared" si="137"/>
        <v>0.56140350877193024</v>
      </c>
      <c r="Z237" s="70">
        <f t="shared" si="138"/>
        <v>0.35087719298245612</v>
      </c>
      <c r="AA237" s="70">
        <f t="shared" si="139"/>
        <v>0.52631578947368418</v>
      </c>
      <c r="AB237" s="70">
        <f t="shared" si="140"/>
        <v>0.73684210526315841</v>
      </c>
      <c r="AC237" s="70">
        <f t="shared" si="141"/>
        <v>0</v>
      </c>
      <c r="AD237" s="71">
        <f t="shared" si="142"/>
        <v>1.0526315789473681</v>
      </c>
      <c r="AE237" s="72">
        <f t="shared" si="143"/>
        <v>0.7</v>
      </c>
      <c r="AF237" s="72">
        <f t="shared" ca="1" si="144"/>
        <v>0.8</v>
      </c>
      <c r="AG237" s="73">
        <f t="shared" ca="1" si="145"/>
        <v>0.73333333333333339</v>
      </c>
      <c r="AH237" s="456">
        <f t="shared" si="146"/>
        <v>5.3333333333333348</v>
      </c>
      <c r="AI237" s="467">
        <f t="shared" ca="1" si="147"/>
        <v>39.111111111111121</v>
      </c>
      <c r="AJ237" s="458" t="str">
        <f t="shared" ca="1" si="148"/>
        <v>Q4</v>
      </c>
      <c r="AK237" s="95" t="s">
        <v>370</v>
      </c>
      <c r="AL237" s="572"/>
      <c r="AM237" s="117"/>
      <c r="AN237" s="113"/>
      <c r="AO237" s="113"/>
      <c r="AP237" s="119"/>
      <c r="AQ237" s="586"/>
      <c r="AR237" s="436"/>
      <c r="AS237" s="437"/>
      <c r="AT237" s="437"/>
      <c r="AU237" s="437"/>
      <c r="AV237" s="437"/>
      <c r="AW237" s="94"/>
    </row>
    <row r="238" spans="1:49" ht="36" customHeight="1">
      <c r="A238" s="5">
        <v>243</v>
      </c>
      <c r="B238" s="625">
        <v>103</v>
      </c>
      <c r="C238" s="6" t="s">
        <v>20</v>
      </c>
      <c r="D238" s="371" t="s">
        <v>7</v>
      </c>
      <c r="E238" s="18" t="s">
        <v>1352</v>
      </c>
      <c r="F238" s="20" t="s">
        <v>1353</v>
      </c>
      <c r="G238" s="20" t="s">
        <v>69</v>
      </c>
      <c r="H238" s="604">
        <v>943000</v>
      </c>
      <c r="I238" s="50">
        <v>2</v>
      </c>
      <c r="J238" s="55">
        <v>0.1</v>
      </c>
      <c r="K238" s="49"/>
      <c r="L238" s="56"/>
      <c r="M238" s="61">
        <v>5</v>
      </c>
      <c r="N238" s="62">
        <v>4</v>
      </c>
      <c r="O238" s="62">
        <v>4</v>
      </c>
      <c r="P238" s="62">
        <v>4.0000000000000027</v>
      </c>
      <c r="Q238" s="62">
        <v>5</v>
      </c>
      <c r="R238" s="62">
        <v>4.0000000000000027</v>
      </c>
      <c r="S238" s="62">
        <v>6</v>
      </c>
      <c r="T238" s="63">
        <v>6.0000000000000036</v>
      </c>
      <c r="U238" s="66" t="e">
        <f t="shared" ca="1" si="133"/>
        <v>#DIV/0!</v>
      </c>
      <c r="V238" s="66">
        <f t="shared" ca="1" si="134"/>
        <v>0.1</v>
      </c>
      <c r="W238" s="70">
        <f t="shared" si="135"/>
        <v>0.78947368421052633</v>
      </c>
      <c r="X238" s="70">
        <f t="shared" si="136"/>
        <v>0.42105263157894735</v>
      </c>
      <c r="Y238" s="70">
        <f t="shared" si="137"/>
        <v>0.56140350877192979</v>
      </c>
      <c r="Z238" s="70">
        <f t="shared" si="138"/>
        <v>0.7017543859649128</v>
      </c>
      <c r="AA238" s="70">
        <f t="shared" si="139"/>
        <v>0.43859649122807015</v>
      </c>
      <c r="AB238" s="70">
        <f t="shared" si="140"/>
        <v>0.4912280701754389</v>
      </c>
      <c r="AC238" s="70">
        <f t="shared" si="141"/>
        <v>0.63157894736842102</v>
      </c>
      <c r="AD238" s="71">
        <f t="shared" si="142"/>
        <v>0.63157894736842146</v>
      </c>
      <c r="AE238" s="72">
        <f t="shared" si="143"/>
        <v>0.8</v>
      </c>
      <c r="AF238" s="72">
        <f t="shared" ca="1" si="144"/>
        <v>0.9</v>
      </c>
      <c r="AG238" s="73">
        <f t="shared" ca="1" si="145"/>
        <v>0.83333333333333337</v>
      </c>
      <c r="AH238" s="456">
        <f t="shared" si="146"/>
        <v>4.6666666666666679</v>
      </c>
      <c r="AI238" s="467">
        <f t="shared" ca="1" si="147"/>
        <v>38.8888888888889</v>
      </c>
      <c r="AJ238" s="458" t="str">
        <f t="shared" ca="1" si="148"/>
        <v>Q2</v>
      </c>
      <c r="AK238" s="95" t="s">
        <v>370</v>
      </c>
      <c r="AL238" s="572"/>
      <c r="AM238" s="117"/>
      <c r="AN238" s="113"/>
      <c r="AO238" s="113"/>
      <c r="AP238" s="113"/>
      <c r="AQ238" s="121"/>
      <c r="AR238" s="436"/>
      <c r="AS238" s="437"/>
      <c r="AT238" s="437"/>
      <c r="AU238" s="437"/>
      <c r="AV238" s="437"/>
      <c r="AW238" s="94"/>
    </row>
    <row r="239" spans="1:49" ht="36" customHeight="1">
      <c r="A239" s="5">
        <v>207</v>
      </c>
      <c r="B239" s="625">
        <v>113</v>
      </c>
      <c r="C239" s="6" t="s">
        <v>8</v>
      </c>
      <c r="D239" s="371" t="s">
        <v>7</v>
      </c>
      <c r="E239" s="18" t="s">
        <v>1517</v>
      </c>
      <c r="F239" s="20" t="s">
        <v>1506</v>
      </c>
      <c r="G239" s="20" t="s">
        <v>457</v>
      </c>
      <c r="H239" s="604">
        <v>128000</v>
      </c>
      <c r="I239" s="50">
        <v>2</v>
      </c>
      <c r="J239" s="55">
        <v>0</v>
      </c>
      <c r="K239" s="49"/>
      <c r="L239" s="56"/>
      <c r="M239" s="61">
        <v>3</v>
      </c>
      <c r="N239" s="62">
        <v>5</v>
      </c>
      <c r="O239" s="62">
        <v>5</v>
      </c>
      <c r="P239" s="62">
        <v>4.0000000000000027</v>
      </c>
      <c r="Q239" s="62">
        <v>8.0000000000000053</v>
      </c>
      <c r="R239" s="62">
        <v>5</v>
      </c>
      <c r="S239" s="62">
        <v>2</v>
      </c>
      <c r="T239" s="63">
        <v>4.0000000000000027</v>
      </c>
      <c r="U239" s="66" t="e">
        <f t="shared" ca="1" si="133"/>
        <v>#DIV/0!</v>
      </c>
      <c r="V239" s="66">
        <f t="shared" ca="1" si="134"/>
        <v>0</v>
      </c>
      <c r="W239" s="70">
        <f t="shared" si="135"/>
        <v>0.47368421052631576</v>
      </c>
      <c r="X239" s="70">
        <f t="shared" si="136"/>
        <v>0.52631578947368418</v>
      </c>
      <c r="Y239" s="70">
        <f t="shared" si="137"/>
        <v>0.70175438596491224</v>
      </c>
      <c r="Z239" s="70">
        <f t="shared" si="138"/>
        <v>0.7017543859649128</v>
      </c>
      <c r="AA239" s="70">
        <f t="shared" si="139"/>
        <v>0.7017543859649128</v>
      </c>
      <c r="AB239" s="70">
        <f t="shared" si="140"/>
        <v>0.61403508771929827</v>
      </c>
      <c r="AC239" s="70">
        <f t="shared" si="141"/>
        <v>0.21052631578947367</v>
      </c>
      <c r="AD239" s="71">
        <f t="shared" si="142"/>
        <v>0.42105263157894762</v>
      </c>
      <c r="AE239" s="72">
        <f t="shared" si="143"/>
        <v>0.8</v>
      </c>
      <c r="AF239" s="72">
        <f t="shared" ca="1" si="144"/>
        <v>1</v>
      </c>
      <c r="AG239" s="73">
        <f t="shared" ca="1" si="145"/>
        <v>0.8666666666666667</v>
      </c>
      <c r="AH239" s="456">
        <f t="shared" si="146"/>
        <v>4.3508771929824572</v>
      </c>
      <c r="AI239" s="467">
        <f t="shared" ca="1" si="147"/>
        <v>37.7076023391813</v>
      </c>
      <c r="AJ239" s="458" t="str">
        <f t="shared" ca="1" si="148"/>
        <v>Q2</v>
      </c>
      <c r="AK239" s="95" t="s">
        <v>370</v>
      </c>
      <c r="AL239" s="572"/>
      <c r="AM239" s="117"/>
      <c r="AN239" s="113"/>
      <c r="AO239" s="113"/>
      <c r="AP239" s="113"/>
      <c r="AQ239" s="121"/>
      <c r="AR239" s="436"/>
      <c r="AS239" s="437"/>
      <c r="AT239" s="437"/>
      <c r="AU239" s="437"/>
      <c r="AV239" s="437"/>
      <c r="AW239" s="94"/>
    </row>
    <row r="240" spans="1:49" ht="36" customHeight="1">
      <c r="A240" s="5">
        <v>247</v>
      </c>
      <c r="B240" s="625">
        <v>118</v>
      </c>
      <c r="C240" s="6" t="s">
        <v>8</v>
      </c>
      <c r="D240" s="371" t="s">
        <v>7</v>
      </c>
      <c r="E240" s="18" t="s">
        <v>318</v>
      </c>
      <c r="F240" s="19" t="s">
        <v>319</v>
      </c>
      <c r="G240" s="20" t="s">
        <v>320</v>
      </c>
      <c r="H240" s="603">
        <v>252000</v>
      </c>
      <c r="I240" s="50">
        <v>2</v>
      </c>
      <c r="J240" s="55">
        <v>0</v>
      </c>
      <c r="K240" s="49"/>
      <c r="L240" s="56"/>
      <c r="M240" s="61">
        <v>3</v>
      </c>
      <c r="N240" s="62">
        <v>5</v>
      </c>
      <c r="O240" s="62">
        <v>4.0000000000000027</v>
      </c>
      <c r="P240" s="62">
        <v>4.0000000000000027</v>
      </c>
      <c r="Q240" s="62">
        <v>8.0000000000000053</v>
      </c>
      <c r="R240" s="62">
        <v>5</v>
      </c>
      <c r="S240" s="62">
        <v>3</v>
      </c>
      <c r="T240" s="63">
        <v>4</v>
      </c>
      <c r="U240" s="66" t="e">
        <f t="shared" ca="1" si="133"/>
        <v>#DIV/0!</v>
      </c>
      <c r="V240" s="66">
        <f t="shared" ca="1" si="134"/>
        <v>0</v>
      </c>
      <c r="W240" s="70">
        <f t="shared" si="135"/>
        <v>0.47368421052631576</v>
      </c>
      <c r="X240" s="70">
        <f t="shared" si="136"/>
        <v>0.52631578947368418</v>
      </c>
      <c r="Y240" s="70">
        <f t="shared" si="137"/>
        <v>0.56140350877193024</v>
      </c>
      <c r="Z240" s="70">
        <f t="shared" si="138"/>
        <v>0.7017543859649128</v>
      </c>
      <c r="AA240" s="70">
        <f t="shared" si="139"/>
        <v>0.7017543859649128</v>
      </c>
      <c r="AB240" s="70">
        <f t="shared" si="140"/>
        <v>0.61403508771929827</v>
      </c>
      <c r="AC240" s="70">
        <f t="shared" si="141"/>
        <v>0.31578947368421051</v>
      </c>
      <c r="AD240" s="71">
        <f t="shared" si="142"/>
        <v>0.42105263157894735</v>
      </c>
      <c r="AE240" s="72">
        <f t="shared" si="143"/>
        <v>0.8</v>
      </c>
      <c r="AF240" s="72">
        <f t="shared" ca="1" si="144"/>
        <v>1</v>
      </c>
      <c r="AG240" s="73">
        <f t="shared" ca="1" si="145"/>
        <v>0.8666666666666667</v>
      </c>
      <c r="AH240" s="456">
        <f t="shared" si="146"/>
        <v>4.3157894736842124</v>
      </c>
      <c r="AI240" s="467">
        <f t="shared" ca="1" si="147"/>
        <v>37.403508771929843</v>
      </c>
      <c r="AJ240" s="458" t="str">
        <f t="shared" ca="1" si="148"/>
        <v>Q2</v>
      </c>
      <c r="AK240" s="95" t="s">
        <v>370</v>
      </c>
      <c r="AL240" s="572"/>
      <c r="AM240" s="117"/>
      <c r="AN240" s="113"/>
      <c r="AO240" s="113"/>
      <c r="AP240" s="113"/>
      <c r="AQ240" s="121"/>
      <c r="AR240" s="436"/>
      <c r="AS240" s="437"/>
      <c r="AT240" s="437"/>
      <c r="AU240" s="437"/>
      <c r="AV240" s="437"/>
      <c r="AW240" s="94"/>
    </row>
    <row r="241" spans="1:49" ht="36" customHeight="1">
      <c r="A241" s="5">
        <v>229</v>
      </c>
      <c r="B241" s="625">
        <v>130</v>
      </c>
      <c r="C241" s="6" t="s">
        <v>18</v>
      </c>
      <c r="D241" s="371" t="s">
        <v>416</v>
      </c>
      <c r="E241" s="12" t="s">
        <v>1469</v>
      </c>
      <c r="F241" s="13" t="s">
        <v>1283</v>
      </c>
      <c r="G241" s="112" t="s">
        <v>66</v>
      </c>
      <c r="H241" s="600">
        <v>1650000</v>
      </c>
      <c r="I241" s="49">
        <v>3</v>
      </c>
      <c r="J241" s="55">
        <v>0</v>
      </c>
      <c r="K241" s="49"/>
      <c r="L241" s="56"/>
      <c r="M241" s="61">
        <v>6</v>
      </c>
      <c r="N241" s="62">
        <v>8.0000000000000053</v>
      </c>
      <c r="O241" s="62">
        <v>2</v>
      </c>
      <c r="P241" s="62">
        <v>3</v>
      </c>
      <c r="Q241" s="62">
        <v>0</v>
      </c>
      <c r="R241" s="62">
        <v>8.0000000000000053</v>
      </c>
      <c r="S241" s="62">
        <v>0</v>
      </c>
      <c r="T241" s="63">
        <v>10</v>
      </c>
      <c r="U241" s="66" t="e">
        <f t="shared" ca="1" si="133"/>
        <v>#DIV/0!</v>
      </c>
      <c r="V241" s="66">
        <f t="shared" ca="1" si="134"/>
        <v>0</v>
      </c>
      <c r="W241" s="70">
        <f t="shared" si="135"/>
        <v>0.94736842105263153</v>
      </c>
      <c r="X241" s="70">
        <f t="shared" si="136"/>
        <v>0.84210526315789525</v>
      </c>
      <c r="Y241" s="70">
        <f t="shared" si="137"/>
        <v>0.2807017543859649</v>
      </c>
      <c r="Z241" s="70">
        <f t="shared" si="138"/>
        <v>0.52631578947368418</v>
      </c>
      <c r="AA241" s="70">
        <f t="shared" si="139"/>
        <v>0</v>
      </c>
      <c r="AB241" s="70">
        <f t="shared" si="140"/>
        <v>0.9824561403508778</v>
      </c>
      <c r="AC241" s="70">
        <f t="shared" si="141"/>
        <v>0</v>
      </c>
      <c r="AD241" s="71">
        <f t="shared" si="142"/>
        <v>1.0526315789473684</v>
      </c>
      <c r="AE241" s="72">
        <f t="shared" si="143"/>
        <v>0.7</v>
      </c>
      <c r="AF241" s="72">
        <f t="shared" ca="1" si="144"/>
        <v>1</v>
      </c>
      <c r="AG241" s="73">
        <f t="shared" ca="1" si="145"/>
        <v>0.79999999999999993</v>
      </c>
      <c r="AH241" s="456">
        <f t="shared" si="146"/>
        <v>4.6315789473684212</v>
      </c>
      <c r="AI241" s="467">
        <f t="shared" ca="1" si="147"/>
        <v>37.05263157894737</v>
      </c>
      <c r="AJ241" s="458" t="str">
        <f t="shared" ca="1" si="148"/>
        <v>Q2</v>
      </c>
      <c r="AK241" s="93" t="s">
        <v>370</v>
      </c>
      <c r="AL241" s="571"/>
      <c r="AM241" s="117"/>
      <c r="AN241" s="113"/>
      <c r="AO241" s="113"/>
      <c r="AP241" s="113"/>
      <c r="AQ241" s="121">
        <v>1650000</v>
      </c>
      <c r="AR241" s="436">
        <v>320000</v>
      </c>
      <c r="AS241" s="437"/>
      <c r="AT241" s="437"/>
      <c r="AU241" s="437"/>
      <c r="AV241" s="437">
        <f>AQ241*(1+Efactor)^4</f>
        <v>1893412.9510312495</v>
      </c>
      <c r="AW241" s="94"/>
    </row>
    <row r="242" spans="1:49" ht="36" customHeight="1">
      <c r="A242" s="5">
        <v>257</v>
      </c>
      <c r="B242" s="625">
        <v>137</v>
      </c>
      <c r="C242" s="6" t="s">
        <v>53</v>
      </c>
      <c r="D242" s="371" t="s">
        <v>7</v>
      </c>
      <c r="E242" s="18" t="s">
        <v>1392</v>
      </c>
      <c r="F242" s="20" t="s">
        <v>1393</v>
      </c>
      <c r="G242" s="20" t="s">
        <v>1394</v>
      </c>
      <c r="H242" s="603">
        <v>200000</v>
      </c>
      <c r="I242" s="50">
        <v>3</v>
      </c>
      <c r="J242" s="55">
        <v>0.1</v>
      </c>
      <c r="K242" s="49"/>
      <c r="L242" s="56"/>
      <c r="M242" s="61">
        <v>6.0000000000000036</v>
      </c>
      <c r="N242" s="62">
        <v>4.0000000000000027</v>
      </c>
      <c r="O242" s="62">
        <v>4</v>
      </c>
      <c r="P242" s="62">
        <v>4.0000000000000027</v>
      </c>
      <c r="Q242" s="62">
        <v>4</v>
      </c>
      <c r="R242" s="62">
        <v>6.0000000000000036</v>
      </c>
      <c r="S242" s="62">
        <v>4</v>
      </c>
      <c r="T242" s="63">
        <v>6.0000000000000036</v>
      </c>
      <c r="U242" s="66" t="e">
        <f t="shared" ca="1" si="133"/>
        <v>#DIV/0!</v>
      </c>
      <c r="V242" s="66">
        <f t="shared" ca="1" si="134"/>
        <v>0.1</v>
      </c>
      <c r="W242" s="70">
        <f t="shared" si="135"/>
        <v>0.94736842105263208</v>
      </c>
      <c r="X242" s="70">
        <f t="shared" si="136"/>
        <v>0.42105263157894762</v>
      </c>
      <c r="Y242" s="70">
        <f t="shared" si="137"/>
        <v>0.56140350877192979</v>
      </c>
      <c r="Z242" s="70">
        <f t="shared" si="138"/>
        <v>0.7017543859649128</v>
      </c>
      <c r="AA242" s="70">
        <f t="shared" si="139"/>
        <v>0.35087719298245612</v>
      </c>
      <c r="AB242" s="70">
        <f t="shared" si="140"/>
        <v>0.73684210526315841</v>
      </c>
      <c r="AC242" s="70">
        <f t="shared" si="141"/>
        <v>0.42105263157894735</v>
      </c>
      <c r="AD242" s="71">
        <f t="shared" si="142"/>
        <v>0.63157894736842146</v>
      </c>
      <c r="AE242" s="72">
        <f t="shared" si="143"/>
        <v>0.7</v>
      </c>
      <c r="AF242" s="72">
        <f t="shared" ca="1" si="144"/>
        <v>0.9</v>
      </c>
      <c r="AG242" s="73">
        <f t="shared" ca="1" si="145"/>
        <v>0.76666666666666661</v>
      </c>
      <c r="AH242" s="456">
        <f t="shared" si="146"/>
        <v>4.7719298245614059</v>
      </c>
      <c r="AI242" s="467">
        <f t="shared" ca="1" si="147"/>
        <v>36.584795321637444</v>
      </c>
      <c r="AJ242" s="458" t="str">
        <f t="shared" ca="1" si="148"/>
        <v>Q2</v>
      </c>
      <c r="AK242" s="95" t="s">
        <v>370</v>
      </c>
      <c r="AL242" s="572"/>
      <c r="AM242" s="117"/>
      <c r="AN242" s="113"/>
      <c r="AO242" s="113"/>
      <c r="AP242" s="113"/>
      <c r="AQ242" s="121"/>
      <c r="AR242" s="436"/>
      <c r="AS242" s="437"/>
      <c r="AT242" s="437"/>
      <c r="AU242" s="437"/>
      <c r="AV242" s="437"/>
      <c r="AW242" s="94"/>
    </row>
    <row r="243" spans="1:49" ht="36" customHeight="1">
      <c r="A243" s="5">
        <v>184</v>
      </c>
      <c r="B243" s="625">
        <v>151</v>
      </c>
      <c r="C243" s="14" t="s">
        <v>8</v>
      </c>
      <c r="D243" s="442" t="s">
        <v>7</v>
      </c>
      <c r="E243" s="7" t="s">
        <v>290</v>
      </c>
      <c r="F243" s="31" t="s">
        <v>1462</v>
      </c>
      <c r="G243" s="31" t="s">
        <v>1461</v>
      </c>
      <c r="H243" s="600">
        <v>250000</v>
      </c>
      <c r="I243" s="50">
        <v>2</v>
      </c>
      <c r="J243" s="55">
        <v>0.2</v>
      </c>
      <c r="K243" s="49"/>
      <c r="L243" s="56"/>
      <c r="M243" s="61">
        <v>8.0000000000000053</v>
      </c>
      <c r="N243" s="62">
        <v>6.0000000000000036</v>
      </c>
      <c r="O243" s="62">
        <v>0</v>
      </c>
      <c r="P243" s="62">
        <v>4</v>
      </c>
      <c r="Q243" s="62">
        <v>1</v>
      </c>
      <c r="R243" s="62">
        <v>6.0000000000000036</v>
      </c>
      <c r="S243" s="62">
        <v>0</v>
      </c>
      <c r="T243" s="63">
        <v>10</v>
      </c>
      <c r="U243" s="66" t="e">
        <f t="shared" ca="1" si="133"/>
        <v>#DIV/0!</v>
      </c>
      <c r="V243" s="66">
        <f t="shared" ca="1" si="134"/>
        <v>0.2</v>
      </c>
      <c r="W243" s="70">
        <f t="shared" si="135"/>
        <v>1.2631578947368429</v>
      </c>
      <c r="X243" s="70">
        <f t="shared" si="136"/>
        <v>0.63157894736842146</v>
      </c>
      <c r="Y243" s="70">
        <f t="shared" si="137"/>
        <v>0</v>
      </c>
      <c r="Z243" s="70">
        <f t="shared" si="138"/>
        <v>0.70175438596491224</v>
      </c>
      <c r="AA243" s="70">
        <f t="shared" si="139"/>
        <v>8.771929824561403E-2</v>
      </c>
      <c r="AB243" s="70">
        <f t="shared" si="140"/>
        <v>0.73684210526315841</v>
      </c>
      <c r="AC243" s="70">
        <f t="shared" si="141"/>
        <v>0</v>
      </c>
      <c r="AD243" s="71">
        <f t="shared" si="142"/>
        <v>1.0526315789473684</v>
      </c>
      <c r="AE243" s="72">
        <f t="shared" si="143"/>
        <v>0.8</v>
      </c>
      <c r="AF243" s="72">
        <f t="shared" ca="1" si="144"/>
        <v>0.8</v>
      </c>
      <c r="AG243" s="73">
        <f t="shared" ca="1" si="145"/>
        <v>0.80000000000000016</v>
      </c>
      <c r="AH243" s="456">
        <f t="shared" si="146"/>
        <v>4.4736842105263168</v>
      </c>
      <c r="AI243" s="467">
        <f t="shared" ca="1" si="147"/>
        <v>35.789473684210542</v>
      </c>
      <c r="AJ243" s="458" t="str">
        <f t="shared" ca="1" si="148"/>
        <v>Q2</v>
      </c>
      <c r="AK243" s="95" t="s">
        <v>370</v>
      </c>
      <c r="AL243" s="572"/>
      <c r="AM243" s="117"/>
      <c r="AN243" s="113"/>
      <c r="AO243" s="113"/>
      <c r="AP243" s="113"/>
      <c r="AQ243" s="121"/>
      <c r="AR243" s="436"/>
      <c r="AS243" s="437"/>
      <c r="AT243" s="437"/>
      <c r="AU243" s="437"/>
      <c r="AV243" s="437"/>
      <c r="AW243" s="94"/>
    </row>
    <row r="244" spans="1:49" ht="36" customHeight="1">
      <c r="A244" s="5">
        <v>285</v>
      </c>
      <c r="B244" s="625">
        <v>153</v>
      </c>
      <c r="C244" s="6" t="s">
        <v>8</v>
      </c>
      <c r="D244" s="371" t="s">
        <v>7</v>
      </c>
      <c r="E244" s="7" t="s">
        <v>1546</v>
      </c>
      <c r="F244" s="11" t="s">
        <v>65</v>
      </c>
      <c r="G244" s="8"/>
      <c r="H244" s="608">
        <v>185000</v>
      </c>
      <c r="I244" s="50">
        <v>2</v>
      </c>
      <c r="J244" s="55">
        <v>0.1</v>
      </c>
      <c r="K244" s="49"/>
      <c r="L244" s="56"/>
      <c r="M244" s="61">
        <v>6</v>
      </c>
      <c r="N244" s="62">
        <v>6.0000000000000036</v>
      </c>
      <c r="O244" s="62">
        <v>0</v>
      </c>
      <c r="P244" s="62">
        <v>6.0000000000000036</v>
      </c>
      <c r="Q244" s="62">
        <v>6</v>
      </c>
      <c r="R244" s="62">
        <v>4.0000000000000027</v>
      </c>
      <c r="S244" s="62">
        <v>0</v>
      </c>
      <c r="T244" s="63">
        <v>6.0000000000000036</v>
      </c>
      <c r="U244" s="66" t="e">
        <f t="shared" ca="1" si="133"/>
        <v>#DIV/0!</v>
      </c>
      <c r="V244" s="66">
        <f t="shared" ca="1" si="134"/>
        <v>0.1</v>
      </c>
      <c r="W244" s="70">
        <f t="shared" si="135"/>
        <v>0.94736842105263153</v>
      </c>
      <c r="X244" s="70">
        <f t="shared" si="136"/>
        <v>0.63157894736842146</v>
      </c>
      <c r="Y244" s="70">
        <f t="shared" si="137"/>
        <v>0</v>
      </c>
      <c r="Z244" s="70">
        <f t="shared" si="138"/>
        <v>1.052631578947369</v>
      </c>
      <c r="AA244" s="70">
        <f t="shared" si="139"/>
        <v>0.52631578947368418</v>
      </c>
      <c r="AB244" s="70">
        <f t="shared" si="140"/>
        <v>0.4912280701754389</v>
      </c>
      <c r="AC244" s="70">
        <f t="shared" si="141"/>
        <v>0</v>
      </c>
      <c r="AD244" s="71">
        <f t="shared" si="142"/>
        <v>0.63157894736842146</v>
      </c>
      <c r="AE244" s="72">
        <f t="shared" si="143"/>
        <v>0.8</v>
      </c>
      <c r="AF244" s="72">
        <f t="shared" ca="1" si="144"/>
        <v>0.9</v>
      </c>
      <c r="AG244" s="73">
        <f t="shared" ca="1" si="145"/>
        <v>0.83333333333333337</v>
      </c>
      <c r="AH244" s="456">
        <f t="shared" si="146"/>
        <v>4.2807017543859667</v>
      </c>
      <c r="AI244" s="467">
        <f t="shared" ca="1" si="147"/>
        <v>35.672514619883053</v>
      </c>
      <c r="AJ244" s="458" t="str">
        <f t="shared" ca="1" si="148"/>
        <v>Q2</v>
      </c>
      <c r="AK244" s="95" t="s">
        <v>370</v>
      </c>
      <c r="AL244" s="111"/>
      <c r="AM244" s="117"/>
      <c r="AN244" s="113"/>
      <c r="AO244" s="113"/>
      <c r="AP244" s="121"/>
      <c r="AQ244" s="586"/>
      <c r="AR244" s="436"/>
      <c r="AS244" s="437"/>
      <c r="AT244" s="437"/>
      <c r="AU244" s="437"/>
      <c r="AV244" s="437"/>
      <c r="AW244" s="94"/>
    </row>
    <row r="245" spans="1:49" ht="36" customHeight="1">
      <c r="A245" s="5">
        <v>261</v>
      </c>
      <c r="B245" s="625">
        <v>163</v>
      </c>
      <c r="C245" s="14" t="s">
        <v>20</v>
      </c>
      <c r="D245" s="442" t="s">
        <v>7</v>
      </c>
      <c r="E245" s="7" t="s">
        <v>81</v>
      </c>
      <c r="F245" s="8" t="s">
        <v>82</v>
      </c>
      <c r="G245" s="17" t="s">
        <v>83</v>
      </c>
      <c r="H245" s="608">
        <v>500000</v>
      </c>
      <c r="I245" s="50">
        <v>3</v>
      </c>
      <c r="J245" s="55">
        <v>0.1</v>
      </c>
      <c r="K245" s="49"/>
      <c r="L245" s="56"/>
      <c r="M245" s="61">
        <v>6.0000000000000036</v>
      </c>
      <c r="N245" s="62">
        <v>4.0000000000000027</v>
      </c>
      <c r="O245" s="62">
        <v>4.0000000000000027</v>
      </c>
      <c r="P245" s="62">
        <v>6</v>
      </c>
      <c r="Q245" s="62">
        <v>6.0000000000000036</v>
      </c>
      <c r="R245" s="62">
        <v>2</v>
      </c>
      <c r="S245" s="62">
        <v>2</v>
      </c>
      <c r="T245" s="63">
        <v>6.0000000000000036</v>
      </c>
      <c r="U245" s="66" t="e">
        <f t="shared" ca="1" si="133"/>
        <v>#DIV/0!</v>
      </c>
      <c r="V245" s="66">
        <f t="shared" ca="1" si="134"/>
        <v>0.1</v>
      </c>
      <c r="W245" s="70">
        <f t="shared" si="135"/>
        <v>0.94736842105263208</v>
      </c>
      <c r="X245" s="70">
        <f t="shared" si="136"/>
        <v>0.42105263157894762</v>
      </c>
      <c r="Y245" s="70">
        <f t="shared" si="137"/>
        <v>0.56140350877193024</v>
      </c>
      <c r="Z245" s="70">
        <f t="shared" si="138"/>
        <v>1.0526315789473684</v>
      </c>
      <c r="AA245" s="70">
        <f t="shared" si="139"/>
        <v>0.52631578947368451</v>
      </c>
      <c r="AB245" s="70">
        <f t="shared" si="140"/>
        <v>0.24561403508771928</v>
      </c>
      <c r="AC245" s="70">
        <f t="shared" si="141"/>
        <v>0.21052631578947367</v>
      </c>
      <c r="AD245" s="71">
        <f t="shared" si="142"/>
        <v>0.63157894736842146</v>
      </c>
      <c r="AE245" s="72">
        <f t="shared" si="143"/>
        <v>0.7</v>
      </c>
      <c r="AF245" s="72">
        <f t="shared" ca="1" si="144"/>
        <v>0.9</v>
      </c>
      <c r="AG245" s="73">
        <f t="shared" ca="1" si="145"/>
        <v>0.76666666666666661</v>
      </c>
      <c r="AH245" s="456">
        <f t="shared" si="146"/>
        <v>4.5964912280701773</v>
      </c>
      <c r="AI245" s="467">
        <f t="shared" ca="1" si="147"/>
        <v>35.239766081871352</v>
      </c>
      <c r="AJ245" s="458" t="str">
        <f t="shared" ca="1" si="148"/>
        <v>Q2</v>
      </c>
      <c r="AK245" s="95" t="s">
        <v>370</v>
      </c>
      <c r="AL245" s="573"/>
      <c r="AM245" s="117"/>
      <c r="AN245" s="113"/>
      <c r="AO245" s="113"/>
      <c r="AP245" s="121"/>
      <c r="AQ245" s="586"/>
      <c r="AR245" s="436"/>
      <c r="AS245" s="437"/>
      <c r="AT245" s="437"/>
      <c r="AU245" s="437"/>
      <c r="AV245" s="437"/>
      <c r="AW245" s="94"/>
    </row>
    <row r="246" spans="1:49" ht="36" customHeight="1">
      <c r="A246" s="5">
        <v>280</v>
      </c>
      <c r="B246" s="625">
        <v>166</v>
      </c>
      <c r="C246" s="6" t="s">
        <v>18</v>
      </c>
      <c r="D246" s="371" t="s">
        <v>7</v>
      </c>
      <c r="E246" s="12" t="s">
        <v>209</v>
      </c>
      <c r="F246" s="22" t="s">
        <v>1354</v>
      </c>
      <c r="G246" s="130" t="s">
        <v>210</v>
      </c>
      <c r="H246" s="603">
        <v>5000000</v>
      </c>
      <c r="I246" s="50">
        <v>1</v>
      </c>
      <c r="J246" s="55">
        <v>0.1</v>
      </c>
      <c r="K246" s="49"/>
      <c r="L246" s="56"/>
      <c r="M246" s="61">
        <v>4.0000000000000027</v>
      </c>
      <c r="N246" s="62">
        <v>6.0000000000000036</v>
      </c>
      <c r="O246" s="62">
        <v>1</v>
      </c>
      <c r="P246" s="62">
        <v>6.0000000000000036</v>
      </c>
      <c r="Q246" s="62">
        <v>1</v>
      </c>
      <c r="R246" s="62">
        <v>6.0000000000000036</v>
      </c>
      <c r="S246" s="62">
        <v>0</v>
      </c>
      <c r="T246" s="63">
        <v>6.0000000000000036</v>
      </c>
      <c r="U246" s="66" t="e">
        <f t="shared" ca="1" si="133"/>
        <v>#DIV/0!</v>
      </c>
      <c r="V246" s="66">
        <f t="shared" ca="1" si="134"/>
        <v>0.1</v>
      </c>
      <c r="W246" s="70">
        <f t="shared" si="135"/>
        <v>0.63157894736842146</v>
      </c>
      <c r="X246" s="70">
        <f t="shared" si="136"/>
        <v>0.63157894736842146</v>
      </c>
      <c r="Y246" s="70">
        <f t="shared" si="137"/>
        <v>0.14035087719298245</v>
      </c>
      <c r="Z246" s="70">
        <f t="shared" si="138"/>
        <v>1.052631578947369</v>
      </c>
      <c r="AA246" s="70">
        <f t="shared" si="139"/>
        <v>8.771929824561403E-2</v>
      </c>
      <c r="AB246" s="70">
        <f t="shared" si="140"/>
        <v>0.73684210526315841</v>
      </c>
      <c r="AC246" s="70">
        <f t="shared" si="141"/>
        <v>0</v>
      </c>
      <c r="AD246" s="71">
        <f t="shared" si="142"/>
        <v>0.63157894736842146</v>
      </c>
      <c r="AE246" s="72">
        <f t="shared" si="143"/>
        <v>0.9</v>
      </c>
      <c r="AF246" s="72">
        <f t="shared" ca="1" si="144"/>
        <v>0.9</v>
      </c>
      <c r="AG246" s="73">
        <f t="shared" ca="1" si="145"/>
        <v>0.9</v>
      </c>
      <c r="AH246" s="456">
        <f t="shared" si="146"/>
        <v>3.9122807017543879</v>
      </c>
      <c r="AI246" s="467">
        <f t="shared" ca="1" si="147"/>
        <v>35.210526315789494</v>
      </c>
      <c r="AJ246" s="458" t="str">
        <f t="shared" ca="1" si="148"/>
        <v>Q2</v>
      </c>
      <c r="AK246" s="95" t="s">
        <v>370</v>
      </c>
      <c r="AL246" s="572"/>
      <c r="AM246" s="117"/>
      <c r="AN246" s="113"/>
      <c r="AO246" s="121"/>
      <c r="AP246" s="119"/>
      <c r="AQ246" s="121"/>
      <c r="AR246" s="436"/>
      <c r="AS246" s="437"/>
      <c r="AT246" s="437"/>
      <c r="AU246" s="437"/>
      <c r="AV246" s="437"/>
      <c r="AW246" s="94"/>
    </row>
    <row r="247" spans="1:49" ht="36" customHeight="1">
      <c r="A247" s="5">
        <v>271</v>
      </c>
      <c r="B247" s="625">
        <v>171</v>
      </c>
      <c r="C247" s="6" t="s">
        <v>18</v>
      </c>
      <c r="D247" s="371" t="s">
        <v>7</v>
      </c>
      <c r="E247" s="18" t="s">
        <v>200</v>
      </c>
      <c r="F247" s="20" t="s">
        <v>201</v>
      </c>
      <c r="G247" s="20" t="s">
        <v>202</v>
      </c>
      <c r="H247" s="604">
        <v>313500</v>
      </c>
      <c r="I247" s="50">
        <v>3</v>
      </c>
      <c r="J247" s="55">
        <v>0.1</v>
      </c>
      <c r="K247" s="49"/>
      <c r="L247" s="56"/>
      <c r="M247" s="61">
        <v>3</v>
      </c>
      <c r="N247" s="62">
        <v>6.0000000000000036</v>
      </c>
      <c r="O247" s="62">
        <v>4.0000000000000027</v>
      </c>
      <c r="P247" s="62">
        <v>6.0000000000000036</v>
      </c>
      <c r="Q247" s="62">
        <v>6.0000000000000036</v>
      </c>
      <c r="R247" s="62">
        <v>4.0000000000000027</v>
      </c>
      <c r="S247" s="62">
        <v>4</v>
      </c>
      <c r="T247" s="63">
        <v>4.0000000000000027</v>
      </c>
      <c r="U247" s="66" t="e">
        <f t="shared" ca="1" si="133"/>
        <v>#DIV/0!</v>
      </c>
      <c r="V247" s="66">
        <f t="shared" ca="1" si="134"/>
        <v>0.1</v>
      </c>
      <c r="W247" s="70">
        <f t="shared" si="135"/>
        <v>0.47368421052631576</v>
      </c>
      <c r="X247" s="70">
        <f t="shared" si="136"/>
        <v>0.63157894736842146</v>
      </c>
      <c r="Y247" s="70">
        <f t="shared" si="137"/>
        <v>0.56140350877193024</v>
      </c>
      <c r="Z247" s="70">
        <f t="shared" si="138"/>
        <v>1.052631578947369</v>
      </c>
      <c r="AA247" s="70">
        <f t="shared" si="139"/>
        <v>0.52631578947368451</v>
      </c>
      <c r="AB247" s="70">
        <f t="shared" si="140"/>
        <v>0.4912280701754389</v>
      </c>
      <c r="AC247" s="70">
        <f t="shared" si="141"/>
        <v>0.42105263157894735</v>
      </c>
      <c r="AD247" s="71">
        <f t="shared" si="142"/>
        <v>0.42105263157894762</v>
      </c>
      <c r="AE247" s="72">
        <f t="shared" si="143"/>
        <v>0.7</v>
      </c>
      <c r="AF247" s="72">
        <f t="shared" ca="1" si="144"/>
        <v>0.9</v>
      </c>
      <c r="AG247" s="73">
        <f t="shared" ca="1" si="145"/>
        <v>0.76666666666666661</v>
      </c>
      <c r="AH247" s="456">
        <f t="shared" si="146"/>
        <v>4.5789473684210549</v>
      </c>
      <c r="AI247" s="467">
        <f t="shared" ca="1" si="147"/>
        <v>35.105263157894754</v>
      </c>
      <c r="AJ247" s="458" t="str">
        <f t="shared" ca="1" si="148"/>
        <v>Q2</v>
      </c>
      <c r="AK247" s="95" t="s">
        <v>370</v>
      </c>
      <c r="AL247" s="572"/>
      <c r="AM247" s="117"/>
      <c r="AN247" s="113"/>
      <c r="AO247" s="113"/>
      <c r="AP247" s="113"/>
      <c r="AQ247" s="121"/>
      <c r="AR247" s="436"/>
      <c r="AS247" s="437"/>
      <c r="AT247" s="437"/>
      <c r="AU247" s="437"/>
      <c r="AV247" s="437"/>
      <c r="AW247" s="94"/>
    </row>
    <row r="248" spans="1:49" ht="36" customHeight="1">
      <c r="A248" s="424">
        <v>240</v>
      </c>
      <c r="B248" s="625">
        <v>190</v>
      </c>
      <c r="C248" s="14" t="s">
        <v>18</v>
      </c>
      <c r="D248" s="442" t="s">
        <v>7</v>
      </c>
      <c r="E248" s="7" t="s">
        <v>216</v>
      </c>
      <c r="F248" s="13" t="s">
        <v>217</v>
      </c>
      <c r="G248" s="112" t="s">
        <v>218</v>
      </c>
      <c r="H248" s="600">
        <v>1500000</v>
      </c>
      <c r="I248" s="50">
        <v>3</v>
      </c>
      <c r="J248" s="55">
        <v>0</v>
      </c>
      <c r="K248" s="49"/>
      <c r="L248" s="56"/>
      <c r="M248" s="61">
        <v>6.0000000000000036</v>
      </c>
      <c r="N248" s="62">
        <v>6.0000000000000036</v>
      </c>
      <c r="O248" s="62">
        <v>1</v>
      </c>
      <c r="P248" s="62">
        <v>6.0000000000000036</v>
      </c>
      <c r="Q248" s="62">
        <v>1</v>
      </c>
      <c r="R248" s="62">
        <v>5</v>
      </c>
      <c r="S248" s="62">
        <v>2</v>
      </c>
      <c r="T248" s="63">
        <v>6.0000000000000036</v>
      </c>
      <c r="U248" s="66" t="e">
        <f t="shared" ca="1" si="133"/>
        <v>#DIV/0!</v>
      </c>
      <c r="V248" s="66">
        <f t="shared" ca="1" si="134"/>
        <v>0</v>
      </c>
      <c r="W248" s="70">
        <f t="shared" si="135"/>
        <v>0.94736842105263208</v>
      </c>
      <c r="X248" s="70">
        <f t="shared" si="136"/>
        <v>0.63157894736842146</v>
      </c>
      <c r="Y248" s="70">
        <f t="shared" si="137"/>
        <v>0.14035087719298245</v>
      </c>
      <c r="Z248" s="70">
        <f t="shared" si="138"/>
        <v>1.052631578947369</v>
      </c>
      <c r="AA248" s="70">
        <f t="shared" si="139"/>
        <v>8.771929824561403E-2</v>
      </c>
      <c r="AB248" s="70">
        <f t="shared" si="140"/>
        <v>0.61403508771929827</v>
      </c>
      <c r="AC248" s="70">
        <f t="shared" si="141"/>
        <v>0.21052631578947367</v>
      </c>
      <c r="AD248" s="71">
        <f t="shared" si="142"/>
        <v>0.63157894736842146</v>
      </c>
      <c r="AE248" s="72">
        <f t="shared" si="143"/>
        <v>0.7</v>
      </c>
      <c r="AF248" s="72">
        <f t="shared" ca="1" si="144"/>
        <v>1</v>
      </c>
      <c r="AG248" s="73">
        <f t="shared" ca="1" si="145"/>
        <v>0.79999999999999993</v>
      </c>
      <c r="AH248" s="456">
        <f t="shared" si="146"/>
        <v>4.3157894736842124</v>
      </c>
      <c r="AI248" s="467">
        <f t="shared" ca="1" si="147"/>
        <v>34.526315789473699</v>
      </c>
      <c r="AJ248" s="458" t="str">
        <f t="shared" ca="1" si="148"/>
        <v>Q2</v>
      </c>
      <c r="AK248" s="95" t="s">
        <v>370</v>
      </c>
      <c r="AL248" s="572"/>
      <c r="AM248" s="117"/>
      <c r="AN248" s="113"/>
      <c r="AO248" s="113"/>
      <c r="AP248" s="113"/>
      <c r="AQ248" s="121"/>
      <c r="AR248" s="436"/>
      <c r="AS248" s="437"/>
      <c r="AT248" s="437"/>
      <c r="AU248" s="437"/>
      <c r="AV248" s="437"/>
      <c r="AW248" s="94"/>
    </row>
    <row r="249" spans="1:49" ht="36" customHeight="1">
      <c r="A249" s="5"/>
      <c r="B249" s="625">
        <v>193</v>
      </c>
      <c r="C249" s="6" t="s">
        <v>53</v>
      </c>
      <c r="D249" s="371" t="s">
        <v>7</v>
      </c>
      <c r="E249" s="18" t="s">
        <v>211</v>
      </c>
      <c r="F249" s="20" t="s">
        <v>1509</v>
      </c>
      <c r="G249" s="20" t="s">
        <v>212</v>
      </c>
      <c r="H249" s="603">
        <v>250500</v>
      </c>
      <c r="I249" s="50">
        <v>3</v>
      </c>
      <c r="J249" s="55">
        <v>0.3</v>
      </c>
      <c r="K249" s="49"/>
      <c r="L249" s="56"/>
      <c r="M249" s="61">
        <v>6.0000000000000036</v>
      </c>
      <c r="N249" s="62">
        <v>4.0000000000000027</v>
      </c>
      <c r="O249" s="62">
        <v>5</v>
      </c>
      <c r="P249" s="62">
        <v>4.0000000000000027</v>
      </c>
      <c r="Q249" s="62">
        <v>8.0000000000000053</v>
      </c>
      <c r="R249" s="62">
        <v>4.0000000000000027</v>
      </c>
      <c r="S249" s="62">
        <v>3</v>
      </c>
      <c r="T249" s="63">
        <v>6.0000000000000036</v>
      </c>
      <c r="U249" s="66" t="e">
        <f t="shared" ca="1" si="133"/>
        <v>#DIV/0!</v>
      </c>
      <c r="V249" s="66">
        <f t="shared" ca="1" si="134"/>
        <v>0.3</v>
      </c>
      <c r="W249" s="70">
        <f t="shared" si="135"/>
        <v>0.94736842105263208</v>
      </c>
      <c r="X249" s="70">
        <f t="shared" si="136"/>
        <v>0.42105263157894762</v>
      </c>
      <c r="Y249" s="70">
        <f t="shared" si="137"/>
        <v>0.70175438596491224</v>
      </c>
      <c r="Z249" s="70">
        <f t="shared" si="138"/>
        <v>0.7017543859649128</v>
      </c>
      <c r="AA249" s="70">
        <f t="shared" si="139"/>
        <v>0.7017543859649128</v>
      </c>
      <c r="AB249" s="70">
        <f t="shared" si="140"/>
        <v>0.4912280701754389</v>
      </c>
      <c r="AC249" s="70">
        <f t="shared" si="141"/>
        <v>0.31578947368421051</v>
      </c>
      <c r="AD249" s="71">
        <f t="shared" si="142"/>
        <v>0.63157894736842146</v>
      </c>
      <c r="AE249" s="72">
        <f t="shared" si="143"/>
        <v>0.7</v>
      </c>
      <c r="AF249" s="72">
        <f t="shared" ca="1" si="144"/>
        <v>0.7</v>
      </c>
      <c r="AG249" s="73">
        <f t="shared" ca="1" si="145"/>
        <v>0.69999999999999984</v>
      </c>
      <c r="AH249" s="456">
        <f t="shared" si="146"/>
        <v>4.9122807017543879</v>
      </c>
      <c r="AI249" s="467">
        <f t="shared" ca="1" si="147"/>
        <v>34.385964912280706</v>
      </c>
      <c r="AJ249" s="458" t="str">
        <f t="shared" ca="1" si="148"/>
        <v>Q4</v>
      </c>
      <c r="AK249" s="95" t="s">
        <v>370</v>
      </c>
      <c r="AL249" s="111"/>
      <c r="AM249" s="117"/>
      <c r="AN249" s="113"/>
      <c r="AO249" s="113"/>
      <c r="AP249" s="113"/>
      <c r="AQ249" s="121"/>
      <c r="AR249" s="436"/>
      <c r="AS249" s="437"/>
      <c r="AT249" s="437"/>
      <c r="AU249" s="437"/>
      <c r="AV249" s="437"/>
      <c r="AW249" s="94"/>
    </row>
    <row r="250" spans="1:49" ht="36" customHeight="1">
      <c r="A250" s="5">
        <v>201</v>
      </c>
      <c r="B250" s="625">
        <v>196</v>
      </c>
      <c r="C250" s="14" t="s">
        <v>23</v>
      </c>
      <c r="D250" s="442" t="s">
        <v>7</v>
      </c>
      <c r="E250" s="7" t="s">
        <v>1497</v>
      </c>
      <c r="F250" s="9" t="s">
        <v>1200</v>
      </c>
      <c r="G250" s="8"/>
      <c r="H250" s="608">
        <v>1500000</v>
      </c>
      <c r="I250" s="50">
        <v>2</v>
      </c>
      <c r="J250" s="55">
        <v>0.2</v>
      </c>
      <c r="K250" s="49"/>
      <c r="L250" s="56"/>
      <c r="M250" s="61">
        <v>4</v>
      </c>
      <c r="N250" s="62">
        <v>4</v>
      </c>
      <c r="O250" s="62">
        <v>2</v>
      </c>
      <c r="P250" s="62">
        <v>6.0000000000000036</v>
      </c>
      <c r="Q250" s="62">
        <v>6</v>
      </c>
      <c r="R250" s="62">
        <v>6</v>
      </c>
      <c r="S250" s="62">
        <v>4</v>
      </c>
      <c r="T250" s="63">
        <v>2</v>
      </c>
      <c r="U250" s="66" t="e">
        <f t="shared" ca="1" si="133"/>
        <v>#DIV/0!</v>
      </c>
      <c r="V250" s="66">
        <f t="shared" ca="1" si="134"/>
        <v>0.2</v>
      </c>
      <c r="W250" s="70">
        <f t="shared" si="135"/>
        <v>0.63157894736842102</v>
      </c>
      <c r="X250" s="70">
        <f t="shared" si="136"/>
        <v>0.42105263157894735</v>
      </c>
      <c r="Y250" s="70">
        <f t="shared" si="137"/>
        <v>0.2807017543859649</v>
      </c>
      <c r="Z250" s="70">
        <f t="shared" si="138"/>
        <v>1.052631578947369</v>
      </c>
      <c r="AA250" s="70">
        <f t="shared" si="139"/>
        <v>0.52631578947368418</v>
      </c>
      <c r="AB250" s="70">
        <f t="shared" si="140"/>
        <v>0.73684210526315785</v>
      </c>
      <c r="AC250" s="70">
        <f t="shared" si="141"/>
        <v>0.42105263157894735</v>
      </c>
      <c r="AD250" s="71">
        <f t="shared" si="142"/>
        <v>0.21052631578947367</v>
      </c>
      <c r="AE250" s="72">
        <f t="shared" si="143"/>
        <v>0.8</v>
      </c>
      <c r="AF250" s="72">
        <f t="shared" ca="1" si="144"/>
        <v>0.8</v>
      </c>
      <c r="AG250" s="73">
        <f t="shared" ca="1" si="145"/>
        <v>0.80000000000000016</v>
      </c>
      <c r="AH250" s="456">
        <f t="shared" si="146"/>
        <v>4.2807017543859649</v>
      </c>
      <c r="AI250" s="467">
        <f t="shared" ca="1" si="147"/>
        <v>34.245614035087726</v>
      </c>
      <c r="AJ250" s="458" t="str">
        <f t="shared" ca="1" si="148"/>
        <v>Q2</v>
      </c>
      <c r="AK250" s="95" t="s">
        <v>370</v>
      </c>
      <c r="AL250" s="572"/>
      <c r="AM250" s="117"/>
      <c r="AN250" s="113"/>
      <c r="AO250" s="113"/>
      <c r="AP250" s="113"/>
      <c r="AQ250" s="121"/>
      <c r="AR250" s="436"/>
      <c r="AS250" s="437"/>
      <c r="AT250" s="437"/>
      <c r="AU250" s="437"/>
      <c r="AV250" s="437"/>
      <c r="AW250" s="94"/>
    </row>
    <row r="251" spans="1:49" s="228" customFormat="1" ht="36" customHeight="1">
      <c r="A251" s="5">
        <v>118</v>
      </c>
      <c r="B251" s="625">
        <v>204</v>
      </c>
      <c r="C251" s="6" t="s">
        <v>8</v>
      </c>
      <c r="D251" s="371" t="s">
        <v>7</v>
      </c>
      <c r="E251" s="598" t="s">
        <v>1410</v>
      </c>
      <c r="F251" s="31" t="s">
        <v>231</v>
      </c>
      <c r="G251" s="420" t="s">
        <v>232</v>
      </c>
      <c r="H251" s="600">
        <v>100000</v>
      </c>
      <c r="I251" s="50">
        <v>3</v>
      </c>
      <c r="J251" s="55">
        <v>0.3</v>
      </c>
      <c r="K251" s="49"/>
      <c r="L251" s="56"/>
      <c r="M251" s="61">
        <v>7</v>
      </c>
      <c r="N251" s="62">
        <v>8</v>
      </c>
      <c r="O251" s="62">
        <v>4</v>
      </c>
      <c r="P251" s="62">
        <v>0</v>
      </c>
      <c r="Q251" s="62">
        <v>6.0000000000000036</v>
      </c>
      <c r="R251" s="62">
        <v>6.0000000000000036</v>
      </c>
      <c r="S251" s="62">
        <v>0</v>
      </c>
      <c r="T251" s="63">
        <v>9.9999999999999982</v>
      </c>
      <c r="U251" s="66" t="e">
        <f t="shared" ca="1" si="133"/>
        <v>#DIV/0!</v>
      </c>
      <c r="V251" s="66">
        <f t="shared" ca="1" si="134"/>
        <v>0.3</v>
      </c>
      <c r="W251" s="70">
        <f t="shared" si="135"/>
        <v>1.1052631578947369</v>
      </c>
      <c r="X251" s="70">
        <f t="shared" si="136"/>
        <v>0.84210526315789469</v>
      </c>
      <c r="Y251" s="70">
        <f t="shared" si="137"/>
        <v>0.56140350877192979</v>
      </c>
      <c r="Z251" s="70">
        <f t="shared" si="138"/>
        <v>0</v>
      </c>
      <c r="AA251" s="70">
        <f t="shared" si="139"/>
        <v>0.52631578947368451</v>
      </c>
      <c r="AB251" s="70">
        <f t="shared" si="140"/>
        <v>0.73684210526315841</v>
      </c>
      <c r="AC251" s="70">
        <f t="shared" si="141"/>
        <v>0</v>
      </c>
      <c r="AD251" s="71">
        <f t="shared" si="142"/>
        <v>1.0526315789473681</v>
      </c>
      <c r="AE251" s="72">
        <f t="shared" si="143"/>
        <v>0.7</v>
      </c>
      <c r="AF251" s="72">
        <f t="shared" ca="1" si="144"/>
        <v>0.7</v>
      </c>
      <c r="AG251" s="73">
        <f t="shared" ca="1" si="145"/>
        <v>0.69999999999999984</v>
      </c>
      <c r="AH251" s="456">
        <f t="shared" si="146"/>
        <v>4.8245614035087723</v>
      </c>
      <c r="AI251" s="467">
        <f t="shared" ca="1" si="147"/>
        <v>33.771929824561397</v>
      </c>
      <c r="AJ251" s="458" t="str">
        <f t="shared" ca="1" si="148"/>
        <v>Q4</v>
      </c>
      <c r="AK251" s="95" t="s">
        <v>370</v>
      </c>
      <c r="AL251" s="572"/>
      <c r="AM251" s="117"/>
      <c r="AN251" s="113"/>
      <c r="AO251" s="113"/>
      <c r="AP251" s="113"/>
      <c r="AQ251" s="121"/>
      <c r="AR251" s="436"/>
      <c r="AS251" s="437"/>
      <c r="AT251" s="437"/>
      <c r="AU251" s="437"/>
      <c r="AV251" s="437"/>
      <c r="AW251" s="94"/>
    </row>
    <row r="252" spans="1:49" ht="36" customHeight="1">
      <c r="A252" s="1">
        <v>297</v>
      </c>
      <c r="B252" s="625">
        <v>205</v>
      </c>
      <c r="C252" s="2" t="s">
        <v>8</v>
      </c>
      <c r="D252" s="370" t="s">
        <v>7</v>
      </c>
      <c r="E252" s="374" t="s">
        <v>238</v>
      </c>
      <c r="F252" s="375" t="s">
        <v>1342</v>
      </c>
      <c r="G252" s="375" t="s">
        <v>239</v>
      </c>
      <c r="H252" s="603">
        <v>127000</v>
      </c>
      <c r="I252" s="380">
        <v>2</v>
      </c>
      <c r="J252" s="377">
        <v>0</v>
      </c>
      <c r="K252" s="376"/>
      <c r="L252" s="378"/>
      <c r="M252" s="61">
        <v>2</v>
      </c>
      <c r="N252" s="62">
        <v>4.0000000000000027</v>
      </c>
      <c r="O252" s="62">
        <v>5</v>
      </c>
      <c r="P252" s="62">
        <v>4.0000000000000027</v>
      </c>
      <c r="Q252" s="62">
        <v>6.0000000000000036</v>
      </c>
      <c r="R252" s="62">
        <v>4.0000000000000027</v>
      </c>
      <c r="S252" s="62">
        <v>3</v>
      </c>
      <c r="T252" s="63">
        <v>4.0000000000000027</v>
      </c>
      <c r="U252" s="379" t="e">
        <f t="shared" ca="1" si="133"/>
        <v>#DIV/0!</v>
      </c>
      <c r="V252" s="379">
        <f t="shared" ca="1" si="134"/>
        <v>0</v>
      </c>
      <c r="W252" s="70">
        <f t="shared" si="135"/>
        <v>0.31578947368421051</v>
      </c>
      <c r="X252" s="70">
        <f t="shared" si="136"/>
        <v>0.42105263157894762</v>
      </c>
      <c r="Y252" s="70">
        <f t="shared" si="137"/>
        <v>0.70175438596491224</v>
      </c>
      <c r="Z252" s="70">
        <f t="shared" si="138"/>
        <v>0.7017543859649128</v>
      </c>
      <c r="AA252" s="70">
        <f t="shared" si="139"/>
        <v>0.52631578947368451</v>
      </c>
      <c r="AB252" s="70">
        <f t="shared" si="140"/>
        <v>0.4912280701754389</v>
      </c>
      <c r="AC252" s="70">
        <f t="shared" si="141"/>
        <v>0.31578947368421051</v>
      </c>
      <c r="AD252" s="71">
        <f t="shared" si="142"/>
        <v>0.42105263157894762</v>
      </c>
      <c r="AE252" s="72">
        <f t="shared" si="143"/>
        <v>0.8</v>
      </c>
      <c r="AF252" s="72">
        <f t="shared" ca="1" si="144"/>
        <v>1</v>
      </c>
      <c r="AG252" s="73">
        <f t="shared" ca="1" si="145"/>
        <v>0.8666666666666667</v>
      </c>
      <c r="AH252" s="455">
        <f t="shared" si="146"/>
        <v>3.8947368421052651</v>
      </c>
      <c r="AI252" s="466">
        <f t="shared" ca="1" si="147"/>
        <v>33.754385964912295</v>
      </c>
      <c r="AJ252" s="458" t="str">
        <f t="shared" ca="1" si="148"/>
        <v>Q2</v>
      </c>
      <c r="AK252" s="373" t="s">
        <v>370</v>
      </c>
      <c r="AL252" s="572"/>
      <c r="AM252" s="117"/>
      <c r="AN252" s="113"/>
      <c r="AO252" s="113"/>
      <c r="AP252" s="113"/>
      <c r="AQ252" s="121"/>
      <c r="AR252" s="436"/>
      <c r="AS252" s="437"/>
      <c r="AT252" s="437"/>
      <c r="AU252" s="437"/>
      <c r="AV252" s="437"/>
      <c r="AW252" s="92"/>
    </row>
    <row r="253" spans="1:49" ht="36" customHeight="1">
      <c r="A253" s="424">
        <v>232</v>
      </c>
      <c r="B253" s="625">
        <v>206</v>
      </c>
      <c r="C253" s="6" t="s">
        <v>8</v>
      </c>
      <c r="D253" s="371" t="s">
        <v>7</v>
      </c>
      <c r="E253" s="18" t="s">
        <v>278</v>
      </c>
      <c r="F253" s="19" t="s">
        <v>1400</v>
      </c>
      <c r="G253" s="20" t="s">
        <v>279</v>
      </c>
      <c r="H253" s="603">
        <v>118500</v>
      </c>
      <c r="I253" s="50">
        <v>4</v>
      </c>
      <c r="J253" s="55">
        <v>0.1</v>
      </c>
      <c r="K253" s="49"/>
      <c r="L253" s="56"/>
      <c r="M253" s="61">
        <v>4.0000000000000027</v>
      </c>
      <c r="N253" s="62">
        <v>6.0000000000000036</v>
      </c>
      <c r="O253" s="62">
        <v>4.0000000000000027</v>
      </c>
      <c r="P253" s="62">
        <v>8.0000000000000053</v>
      </c>
      <c r="Q253" s="62">
        <v>4.0000000000000027</v>
      </c>
      <c r="R253" s="62">
        <v>4.0000000000000027</v>
      </c>
      <c r="S253" s="62">
        <v>3</v>
      </c>
      <c r="T253" s="63">
        <v>4.0000000000000027</v>
      </c>
      <c r="U253" s="66" t="e">
        <f t="shared" ca="1" si="133"/>
        <v>#DIV/0!</v>
      </c>
      <c r="V253" s="66">
        <f t="shared" ca="1" si="134"/>
        <v>0.1</v>
      </c>
      <c r="W253" s="70">
        <f t="shared" si="135"/>
        <v>0.63157894736842146</v>
      </c>
      <c r="X253" s="70">
        <f t="shared" si="136"/>
        <v>0.63157894736842146</v>
      </c>
      <c r="Y253" s="70">
        <f t="shared" si="137"/>
        <v>0.56140350877193024</v>
      </c>
      <c r="Z253" s="70">
        <f t="shared" si="138"/>
        <v>1.4035087719298256</v>
      </c>
      <c r="AA253" s="70">
        <f t="shared" si="139"/>
        <v>0.3508771929824564</v>
      </c>
      <c r="AB253" s="70">
        <f t="shared" si="140"/>
        <v>0.4912280701754389</v>
      </c>
      <c r="AC253" s="70">
        <f t="shared" si="141"/>
        <v>0.31578947368421051</v>
      </c>
      <c r="AD253" s="71">
        <f t="shared" si="142"/>
        <v>0.42105263157894762</v>
      </c>
      <c r="AE253" s="72">
        <f t="shared" si="143"/>
        <v>0.6</v>
      </c>
      <c r="AF253" s="72">
        <f t="shared" ca="1" si="144"/>
        <v>0.9</v>
      </c>
      <c r="AG253" s="73">
        <f t="shared" ca="1" si="145"/>
        <v>0.70000000000000007</v>
      </c>
      <c r="AH253" s="456">
        <f t="shared" si="146"/>
        <v>4.8070175438596525</v>
      </c>
      <c r="AI253" s="467">
        <f t="shared" ca="1" si="147"/>
        <v>33.649122807017577</v>
      </c>
      <c r="AJ253" s="458" t="str">
        <f t="shared" ca="1" si="148"/>
        <v>Q4</v>
      </c>
      <c r="AK253" s="95" t="s">
        <v>370</v>
      </c>
      <c r="AL253" s="572"/>
      <c r="AM253" s="117"/>
      <c r="AN253" s="113"/>
      <c r="AO253" s="113"/>
      <c r="AP253" s="113"/>
      <c r="AQ253" s="121"/>
      <c r="AR253" s="436"/>
      <c r="AS253" s="437"/>
      <c r="AT253" s="437"/>
      <c r="AU253" s="437"/>
      <c r="AV253" s="437"/>
      <c r="AW253" s="94"/>
    </row>
    <row r="254" spans="1:49" ht="36" customHeight="1">
      <c r="A254" s="5"/>
      <c r="B254" s="625">
        <v>228</v>
      </c>
      <c r="C254" s="6" t="s">
        <v>32</v>
      </c>
      <c r="D254" s="371" t="s">
        <v>7</v>
      </c>
      <c r="E254" s="18" t="s">
        <v>271</v>
      </c>
      <c r="F254" s="19" t="s">
        <v>272</v>
      </c>
      <c r="G254" s="20" t="s">
        <v>273</v>
      </c>
      <c r="H254" s="603">
        <v>125000</v>
      </c>
      <c r="I254" s="50">
        <v>4</v>
      </c>
      <c r="J254" s="55">
        <v>0.2</v>
      </c>
      <c r="K254" s="49"/>
      <c r="L254" s="56"/>
      <c r="M254" s="61">
        <v>8.0000000000000053</v>
      </c>
      <c r="N254" s="62">
        <v>4.0000000000000027</v>
      </c>
      <c r="O254" s="62">
        <v>4.0000000000000027</v>
      </c>
      <c r="P254" s="62">
        <v>4.0000000000000027</v>
      </c>
      <c r="Q254" s="62">
        <v>6.0000000000000036</v>
      </c>
      <c r="R254" s="62">
        <v>4.0000000000000027</v>
      </c>
      <c r="S254" s="62">
        <v>3</v>
      </c>
      <c r="T254" s="63">
        <v>6.0000000000000036</v>
      </c>
      <c r="U254" s="66" t="e">
        <f t="shared" ca="1" si="133"/>
        <v>#DIV/0!</v>
      </c>
      <c r="V254" s="66">
        <f t="shared" ca="1" si="134"/>
        <v>0.2</v>
      </c>
      <c r="W254" s="70">
        <f t="shared" si="135"/>
        <v>1.2631578947368429</v>
      </c>
      <c r="X254" s="70">
        <f t="shared" si="136"/>
        <v>0.42105263157894762</v>
      </c>
      <c r="Y254" s="70">
        <f t="shared" si="137"/>
        <v>0.56140350877193024</v>
      </c>
      <c r="Z254" s="70">
        <f t="shared" si="138"/>
        <v>0.7017543859649128</v>
      </c>
      <c r="AA254" s="70">
        <f t="shared" si="139"/>
        <v>0.52631578947368451</v>
      </c>
      <c r="AB254" s="70">
        <f t="shared" si="140"/>
        <v>0.4912280701754389</v>
      </c>
      <c r="AC254" s="70">
        <f t="shared" si="141"/>
        <v>0.31578947368421051</v>
      </c>
      <c r="AD254" s="71">
        <f t="shared" si="142"/>
        <v>0.63157894736842146</v>
      </c>
      <c r="AE254" s="72">
        <f t="shared" si="143"/>
        <v>0.6</v>
      </c>
      <c r="AF254" s="72">
        <f t="shared" ca="1" si="144"/>
        <v>0.8</v>
      </c>
      <c r="AG254" s="73">
        <f t="shared" ca="1" si="145"/>
        <v>0.66666666666666663</v>
      </c>
      <c r="AH254" s="456">
        <f t="shared" si="146"/>
        <v>4.9122807017543888</v>
      </c>
      <c r="AI254" s="467">
        <f t="shared" ca="1" si="147"/>
        <v>32.748538011695921</v>
      </c>
      <c r="AJ254" s="458" t="str">
        <f t="shared" ca="1" si="148"/>
        <v>Q4</v>
      </c>
      <c r="AK254" s="95" t="s">
        <v>370</v>
      </c>
      <c r="AL254" s="572"/>
      <c r="AM254" s="117"/>
      <c r="AN254" s="113"/>
      <c r="AO254" s="113"/>
      <c r="AP254" s="113"/>
      <c r="AQ254" s="121"/>
      <c r="AR254" s="436"/>
      <c r="AS254" s="437"/>
      <c r="AT254" s="437"/>
      <c r="AU254" s="437"/>
      <c r="AV254" s="437"/>
      <c r="AW254" s="94"/>
    </row>
    <row r="255" spans="1:49" ht="36" customHeight="1">
      <c r="A255" s="5">
        <v>177</v>
      </c>
      <c r="B255" s="625">
        <v>230</v>
      </c>
      <c r="C255" s="6" t="s">
        <v>32</v>
      </c>
      <c r="D255" s="371" t="s">
        <v>7</v>
      </c>
      <c r="E255" s="18" t="s">
        <v>225</v>
      </c>
      <c r="F255" s="20" t="s">
        <v>1231</v>
      </c>
      <c r="G255" s="20" t="s">
        <v>226</v>
      </c>
      <c r="H255" s="604">
        <v>150000</v>
      </c>
      <c r="I255" s="50">
        <v>3</v>
      </c>
      <c r="J255" s="55">
        <v>0.3</v>
      </c>
      <c r="K255" s="49"/>
      <c r="L255" s="56"/>
      <c r="M255" s="61">
        <v>4.0000000000000027</v>
      </c>
      <c r="N255" s="62">
        <v>4.0000000000000027</v>
      </c>
      <c r="O255" s="62">
        <v>4.0000000000000027</v>
      </c>
      <c r="P255" s="62">
        <v>8.0000000000000053</v>
      </c>
      <c r="Q255" s="62">
        <v>8.0000000000000053</v>
      </c>
      <c r="R255" s="62">
        <v>4.0000000000000027</v>
      </c>
      <c r="S255" s="62">
        <v>0</v>
      </c>
      <c r="T255" s="63">
        <v>4.0000000000000027</v>
      </c>
      <c r="U255" s="66" t="e">
        <f t="shared" ca="1" si="133"/>
        <v>#DIV/0!</v>
      </c>
      <c r="V255" s="66">
        <f t="shared" ca="1" si="134"/>
        <v>0.3</v>
      </c>
      <c r="W255" s="70">
        <f t="shared" si="135"/>
        <v>0.63157894736842146</v>
      </c>
      <c r="X255" s="70">
        <f t="shared" si="136"/>
        <v>0.42105263157894762</v>
      </c>
      <c r="Y255" s="70">
        <f t="shared" si="137"/>
        <v>0.56140350877193024</v>
      </c>
      <c r="Z255" s="70">
        <f t="shared" si="138"/>
        <v>1.4035087719298256</v>
      </c>
      <c r="AA255" s="70">
        <f t="shared" si="139"/>
        <v>0.7017543859649128</v>
      </c>
      <c r="AB255" s="70">
        <f t="shared" si="140"/>
        <v>0.4912280701754389</v>
      </c>
      <c r="AC255" s="70">
        <f t="shared" si="141"/>
        <v>0</v>
      </c>
      <c r="AD255" s="71">
        <f t="shared" si="142"/>
        <v>0.42105263157894762</v>
      </c>
      <c r="AE255" s="72">
        <f t="shared" si="143"/>
        <v>0.7</v>
      </c>
      <c r="AF255" s="72">
        <f t="shared" ca="1" si="144"/>
        <v>0.7</v>
      </c>
      <c r="AG255" s="73">
        <f t="shared" ca="1" si="145"/>
        <v>0.69999999999999984</v>
      </c>
      <c r="AH255" s="456">
        <f t="shared" si="146"/>
        <v>4.6315789473684248</v>
      </c>
      <c r="AI255" s="467">
        <f t="shared" ca="1" si="147"/>
        <v>32.421052631578966</v>
      </c>
      <c r="AJ255" s="458" t="str">
        <f t="shared" ca="1" si="148"/>
        <v>Q4</v>
      </c>
      <c r="AK255" s="95" t="s">
        <v>370</v>
      </c>
      <c r="AL255" s="572"/>
      <c r="AM255" s="117"/>
      <c r="AN255" s="113"/>
      <c r="AO255" s="113"/>
      <c r="AP255" s="113"/>
      <c r="AQ255" s="121"/>
      <c r="AR255" s="436"/>
      <c r="AS255" s="437"/>
      <c r="AT255" s="437"/>
      <c r="AU255" s="437"/>
      <c r="AV255" s="437"/>
      <c r="AW255" s="94"/>
    </row>
    <row r="256" spans="1:49" ht="36" customHeight="1">
      <c r="A256" s="5">
        <v>236</v>
      </c>
      <c r="B256" s="625">
        <v>246</v>
      </c>
      <c r="C256" s="14" t="s">
        <v>8</v>
      </c>
      <c r="D256" s="442" t="s">
        <v>7</v>
      </c>
      <c r="E256" s="12" t="s">
        <v>1548</v>
      </c>
      <c r="F256" s="13" t="s">
        <v>1549</v>
      </c>
      <c r="G256" s="13"/>
      <c r="H256" s="603">
        <v>150000</v>
      </c>
      <c r="I256" s="50">
        <v>3</v>
      </c>
      <c r="J256" s="55">
        <v>0.1</v>
      </c>
      <c r="K256" s="49"/>
      <c r="L256" s="56"/>
      <c r="M256" s="61">
        <v>6</v>
      </c>
      <c r="N256" s="62">
        <v>8</v>
      </c>
      <c r="O256" s="62">
        <v>0</v>
      </c>
      <c r="P256" s="62">
        <v>2</v>
      </c>
      <c r="Q256" s="62">
        <v>0</v>
      </c>
      <c r="R256" s="62">
        <v>7</v>
      </c>
      <c r="S256" s="62">
        <v>0</v>
      </c>
      <c r="T256" s="63">
        <v>10</v>
      </c>
      <c r="U256" s="66" t="e">
        <f t="shared" ca="1" si="133"/>
        <v>#DIV/0!</v>
      </c>
      <c r="V256" s="66">
        <f t="shared" ca="1" si="134"/>
        <v>0.1</v>
      </c>
      <c r="W256" s="70">
        <f t="shared" si="135"/>
        <v>0.94736842105263153</v>
      </c>
      <c r="X256" s="70">
        <f t="shared" si="136"/>
        <v>0.84210526315789469</v>
      </c>
      <c r="Y256" s="70">
        <f t="shared" si="137"/>
        <v>0</v>
      </c>
      <c r="Z256" s="70">
        <f t="shared" si="138"/>
        <v>0.35087719298245612</v>
      </c>
      <c r="AA256" s="70">
        <f t="shared" si="139"/>
        <v>0</v>
      </c>
      <c r="AB256" s="70">
        <f t="shared" si="140"/>
        <v>0.85964912280701755</v>
      </c>
      <c r="AC256" s="70">
        <f t="shared" si="141"/>
        <v>0</v>
      </c>
      <c r="AD256" s="71">
        <f t="shared" si="142"/>
        <v>1.0526315789473684</v>
      </c>
      <c r="AE256" s="72">
        <f t="shared" si="143"/>
        <v>0.7</v>
      </c>
      <c r="AF256" s="72">
        <f t="shared" ca="1" si="144"/>
        <v>0.9</v>
      </c>
      <c r="AG256" s="73">
        <f t="shared" ca="1" si="145"/>
        <v>0.76666666666666661</v>
      </c>
      <c r="AH256" s="456">
        <f t="shared" si="146"/>
        <v>4.0526315789473681</v>
      </c>
      <c r="AI256" s="467">
        <f t="shared" ca="1" si="147"/>
        <v>31.070175438596486</v>
      </c>
      <c r="AJ256" s="458" t="str">
        <f t="shared" ca="1" si="148"/>
        <v>Q2</v>
      </c>
      <c r="AK256" s="95" t="s">
        <v>370</v>
      </c>
      <c r="AL256" s="572"/>
      <c r="AM256" s="117"/>
      <c r="AN256" s="113"/>
      <c r="AO256" s="113"/>
      <c r="AP256" s="113"/>
      <c r="AQ256" s="121"/>
      <c r="AR256" s="436"/>
      <c r="AS256" s="437"/>
      <c r="AT256" s="437"/>
      <c r="AU256" s="437"/>
      <c r="AV256" s="437"/>
      <c r="AW256" s="94"/>
    </row>
    <row r="257" spans="1:49" ht="36" customHeight="1">
      <c r="A257" s="5">
        <v>286</v>
      </c>
      <c r="B257" s="625">
        <v>258</v>
      </c>
      <c r="C257" s="6" t="s">
        <v>20</v>
      </c>
      <c r="D257" s="371" t="s">
        <v>1334</v>
      </c>
      <c r="E257" s="10" t="s">
        <v>1493</v>
      </c>
      <c r="F257" s="23" t="s">
        <v>1186</v>
      </c>
      <c r="G257" s="132" t="s">
        <v>253</v>
      </c>
      <c r="H257" s="603">
        <v>900000</v>
      </c>
      <c r="I257" s="50">
        <v>4</v>
      </c>
      <c r="J257" s="55">
        <v>0.4</v>
      </c>
      <c r="K257" s="49"/>
      <c r="L257" s="56"/>
      <c r="M257" s="61">
        <v>6</v>
      </c>
      <c r="N257" s="62">
        <v>8.0000000000000053</v>
      </c>
      <c r="O257" s="62">
        <v>4.0000000000000027</v>
      </c>
      <c r="P257" s="62">
        <v>2</v>
      </c>
      <c r="Q257" s="62">
        <v>6</v>
      </c>
      <c r="R257" s="62">
        <v>6.0000000000000036</v>
      </c>
      <c r="S257" s="62">
        <v>0</v>
      </c>
      <c r="T257" s="63">
        <v>9.9999999999999982</v>
      </c>
      <c r="U257" s="66" t="e">
        <f t="shared" ca="1" si="133"/>
        <v>#DIV/0!</v>
      </c>
      <c r="V257" s="66">
        <f t="shared" ca="1" si="134"/>
        <v>0.4</v>
      </c>
      <c r="W257" s="70">
        <f t="shared" si="135"/>
        <v>0.94736842105263153</v>
      </c>
      <c r="X257" s="70">
        <f t="shared" si="136"/>
        <v>0.84210526315789525</v>
      </c>
      <c r="Y257" s="70">
        <f t="shared" si="137"/>
        <v>0.56140350877193024</v>
      </c>
      <c r="Z257" s="70">
        <f t="shared" si="138"/>
        <v>0.35087719298245612</v>
      </c>
      <c r="AA257" s="70">
        <f t="shared" si="139"/>
        <v>0.52631578947368418</v>
      </c>
      <c r="AB257" s="70">
        <f t="shared" si="140"/>
        <v>0.73684210526315841</v>
      </c>
      <c r="AC257" s="70">
        <f t="shared" si="141"/>
        <v>0</v>
      </c>
      <c r="AD257" s="71">
        <f t="shared" si="142"/>
        <v>1.0526315789473681</v>
      </c>
      <c r="AE257" s="72">
        <f t="shared" si="143"/>
        <v>0.6</v>
      </c>
      <c r="AF257" s="72">
        <f t="shared" ca="1" si="144"/>
        <v>0.6</v>
      </c>
      <c r="AG257" s="73">
        <f t="shared" ca="1" si="145"/>
        <v>0.6</v>
      </c>
      <c r="AH257" s="456">
        <f t="shared" si="146"/>
        <v>5.0175438596491242</v>
      </c>
      <c r="AI257" s="467">
        <f t="shared" ca="1" si="147"/>
        <v>30.105263157894747</v>
      </c>
      <c r="AJ257" s="458" t="str">
        <f t="shared" ca="1" si="148"/>
        <v>Q4</v>
      </c>
      <c r="AK257" s="95" t="s">
        <v>370</v>
      </c>
      <c r="AL257" s="572"/>
      <c r="AM257" s="117"/>
      <c r="AN257" s="113"/>
      <c r="AO257" s="113"/>
      <c r="AP257" s="113"/>
      <c r="AQ257" s="121"/>
      <c r="AR257" s="438"/>
      <c r="AS257" s="437"/>
      <c r="AT257" s="437"/>
      <c r="AU257" s="437"/>
      <c r="AV257" s="437"/>
      <c r="AW257" s="94"/>
    </row>
    <row r="258" spans="1:49" ht="36" customHeight="1">
      <c r="A258" s="5">
        <v>230</v>
      </c>
      <c r="B258" s="625">
        <v>265</v>
      </c>
      <c r="C258" s="6" t="s">
        <v>32</v>
      </c>
      <c r="D258" s="371" t="s">
        <v>7</v>
      </c>
      <c r="E258" s="18" t="s">
        <v>291</v>
      </c>
      <c r="F258" s="20" t="s">
        <v>1232</v>
      </c>
      <c r="G258" s="20" t="s">
        <v>292</v>
      </c>
      <c r="H258" s="603">
        <v>244000</v>
      </c>
      <c r="I258" s="50">
        <v>4</v>
      </c>
      <c r="J258" s="55">
        <v>0.3</v>
      </c>
      <c r="K258" s="49"/>
      <c r="L258" s="56"/>
      <c r="M258" s="61">
        <v>4.0000000000000027</v>
      </c>
      <c r="N258" s="62">
        <v>6.0000000000000036</v>
      </c>
      <c r="O258" s="62">
        <v>4.0000000000000027</v>
      </c>
      <c r="P258" s="62">
        <v>4.0000000000000027</v>
      </c>
      <c r="Q258" s="62">
        <v>8.0000000000000053</v>
      </c>
      <c r="R258" s="62">
        <v>4.0000000000000027</v>
      </c>
      <c r="S258" s="62">
        <v>3</v>
      </c>
      <c r="T258" s="63">
        <v>6.0000000000000036</v>
      </c>
      <c r="U258" s="66" t="e">
        <f t="shared" ca="1" si="133"/>
        <v>#DIV/0!</v>
      </c>
      <c r="V258" s="66">
        <f t="shared" ca="1" si="134"/>
        <v>0.3</v>
      </c>
      <c r="W258" s="70">
        <f t="shared" si="135"/>
        <v>0.63157894736842146</v>
      </c>
      <c r="X258" s="70">
        <f t="shared" si="136"/>
        <v>0.63157894736842146</v>
      </c>
      <c r="Y258" s="70">
        <f t="shared" si="137"/>
        <v>0.56140350877193024</v>
      </c>
      <c r="Z258" s="70">
        <f t="shared" si="138"/>
        <v>0.7017543859649128</v>
      </c>
      <c r="AA258" s="70">
        <f t="shared" si="139"/>
        <v>0.7017543859649128</v>
      </c>
      <c r="AB258" s="70">
        <f t="shared" si="140"/>
        <v>0.4912280701754389</v>
      </c>
      <c r="AC258" s="70">
        <f t="shared" si="141"/>
        <v>0.31578947368421051</v>
      </c>
      <c r="AD258" s="71">
        <f t="shared" si="142"/>
        <v>0.63157894736842146</v>
      </c>
      <c r="AE258" s="72">
        <f t="shared" si="143"/>
        <v>0.6</v>
      </c>
      <c r="AF258" s="72">
        <f t="shared" ca="1" si="144"/>
        <v>0.7</v>
      </c>
      <c r="AG258" s="73">
        <f t="shared" ca="1" si="145"/>
        <v>0.6333333333333333</v>
      </c>
      <c r="AH258" s="456">
        <f t="shared" si="146"/>
        <v>4.6666666666666687</v>
      </c>
      <c r="AI258" s="467">
        <f t="shared" ca="1" si="147"/>
        <v>29.555555555555564</v>
      </c>
      <c r="AJ258" s="458" t="str">
        <f t="shared" ca="1" si="148"/>
        <v>Q4</v>
      </c>
      <c r="AK258" s="95" t="s">
        <v>370</v>
      </c>
      <c r="AL258" s="111"/>
      <c r="AM258" s="117"/>
      <c r="AN258" s="113"/>
      <c r="AO258" s="113"/>
      <c r="AP258" s="113"/>
      <c r="AQ258" s="121"/>
      <c r="AR258" s="436"/>
      <c r="AS258" s="437"/>
      <c r="AT258" s="437"/>
      <c r="AU258" s="437"/>
      <c r="AV258" s="437"/>
      <c r="AW258" s="94"/>
    </row>
    <row r="259" spans="1:49" ht="36" customHeight="1">
      <c r="A259" s="5"/>
      <c r="B259" s="625">
        <v>272</v>
      </c>
      <c r="C259" s="6" t="s">
        <v>8</v>
      </c>
      <c r="D259" s="371" t="s">
        <v>7</v>
      </c>
      <c r="E259" s="18" t="s">
        <v>1381</v>
      </c>
      <c r="F259" s="19" t="s">
        <v>230</v>
      </c>
      <c r="G259" s="20" t="s">
        <v>1382</v>
      </c>
      <c r="H259" s="604">
        <v>200000</v>
      </c>
      <c r="I259" s="50">
        <v>3</v>
      </c>
      <c r="J259" s="55">
        <v>0.4</v>
      </c>
      <c r="K259" s="49"/>
      <c r="L259" s="56"/>
      <c r="M259" s="61">
        <v>2</v>
      </c>
      <c r="N259" s="62">
        <v>4</v>
      </c>
      <c r="O259" s="62">
        <v>6.0000000000000036</v>
      </c>
      <c r="P259" s="62">
        <v>4.0000000000000027</v>
      </c>
      <c r="Q259" s="62">
        <v>8.0000000000000053</v>
      </c>
      <c r="R259" s="62">
        <v>6.0000000000000036</v>
      </c>
      <c r="S259" s="62">
        <v>4</v>
      </c>
      <c r="T259" s="63">
        <v>1</v>
      </c>
      <c r="U259" s="66" t="e">
        <f t="shared" ca="1" si="133"/>
        <v>#DIV/0!</v>
      </c>
      <c r="V259" s="66">
        <f t="shared" ca="1" si="134"/>
        <v>0.4</v>
      </c>
      <c r="W259" s="70">
        <f t="shared" si="135"/>
        <v>0.31578947368421051</v>
      </c>
      <c r="X259" s="70">
        <f t="shared" si="136"/>
        <v>0.42105263157894735</v>
      </c>
      <c r="Y259" s="70">
        <f t="shared" si="137"/>
        <v>0.84210526315789525</v>
      </c>
      <c r="Z259" s="70">
        <f t="shared" si="138"/>
        <v>0.7017543859649128</v>
      </c>
      <c r="AA259" s="70">
        <f t="shared" si="139"/>
        <v>0.7017543859649128</v>
      </c>
      <c r="AB259" s="70">
        <f t="shared" si="140"/>
        <v>0.73684210526315841</v>
      </c>
      <c r="AC259" s="70">
        <f t="shared" si="141"/>
        <v>0.42105263157894735</v>
      </c>
      <c r="AD259" s="71">
        <f t="shared" si="142"/>
        <v>0.10526315789473684</v>
      </c>
      <c r="AE259" s="72">
        <f t="shared" si="143"/>
        <v>0.7</v>
      </c>
      <c r="AF259" s="72">
        <f t="shared" ca="1" si="144"/>
        <v>0.6</v>
      </c>
      <c r="AG259" s="73">
        <f t="shared" ca="1" si="145"/>
        <v>0.66666666666666663</v>
      </c>
      <c r="AH259" s="456">
        <f t="shared" si="146"/>
        <v>4.2456140350877218</v>
      </c>
      <c r="AI259" s="467">
        <f t="shared" ca="1" si="147"/>
        <v>28.304093567251478</v>
      </c>
      <c r="AJ259" s="458" t="str">
        <f t="shared" ca="1" si="148"/>
        <v>Q4</v>
      </c>
      <c r="AK259" s="95" t="s">
        <v>370</v>
      </c>
      <c r="AL259" s="572"/>
      <c r="AM259" s="117"/>
      <c r="AN259" s="113"/>
      <c r="AO259" s="113"/>
      <c r="AP259" s="113"/>
      <c r="AQ259" s="121"/>
      <c r="AR259" s="436"/>
      <c r="AS259" s="437"/>
      <c r="AT259" s="437"/>
      <c r="AU259" s="437"/>
      <c r="AV259" s="437"/>
      <c r="AW259" s="94"/>
    </row>
    <row r="260" spans="1:49" ht="36" customHeight="1">
      <c r="A260" s="5">
        <v>319</v>
      </c>
      <c r="B260" s="625">
        <v>273</v>
      </c>
      <c r="C260" s="6" t="s">
        <v>18</v>
      </c>
      <c r="D260" s="371" t="s">
        <v>7</v>
      </c>
      <c r="E260" s="18" t="s">
        <v>1376</v>
      </c>
      <c r="F260" s="19" t="s">
        <v>293</v>
      </c>
      <c r="G260" s="20" t="s">
        <v>294</v>
      </c>
      <c r="H260" s="603">
        <v>75500</v>
      </c>
      <c r="I260" s="50">
        <v>5</v>
      </c>
      <c r="J260" s="55">
        <v>0.4</v>
      </c>
      <c r="K260" s="49"/>
      <c r="L260" s="56"/>
      <c r="M260" s="61">
        <v>4.0000000000000027</v>
      </c>
      <c r="N260" s="62">
        <v>6.0000000000000036</v>
      </c>
      <c r="O260" s="62">
        <v>4.0000000000000027</v>
      </c>
      <c r="P260" s="62">
        <v>6.0000000000000036</v>
      </c>
      <c r="Q260" s="62">
        <v>8.0000000000000053</v>
      </c>
      <c r="R260" s="62">
        <v>6.0000000000000036</v>
      </c>
      <c r="S260" s="62">
        <v>2</v>
      </c>
      <c r="T260" s="63">
        <v>6.0000000000000036</v>
      </c>
      <c r="U260" s="66" t="e">
        <f t="shared" ca="1" si="133"/>
        <v>#DIV/0!</v>
      </c>
      <c r="V260" s="66">
        <f t="shared" ca="1" si="134"/>
        <v>0.4</v>
      </c>
      <c r="W260" s="70">
        <f t="shared" si="135"/>
        <v>0.63157894736842146</v>
      </c>
      <c r="X260" s="70">
        <f t="shared" si="136"/>
        <v>0.63157894736842146</v>
      </c>
      <c r="Y260" s="70">
        <f t="shared" si="137"/>
        <v>0.56140350877193024</v>
      </c>
      <c r="Z260" s="70">
        <f t="shared" si="138"/>
        <v>1.052631578947369</v>
      </c>
      <c r="AA260" s="70">
        <f t="shared" si="139"/>
        <v>0.7017543859649128</v>
      </c>
      <c r="AB260" s="70">
        <f t="shared" si="140"/>
        <v>0.73684210526315841</v>
      </c>
      <c r="AC260" s="70">
        <f t="shared" si="141"/>
        <v>0.21052631578947367</v>
      </c>
      <c r="AD260" s="71">
        <f t="shared" si="142"/>
        <v>0.63157894736842146</v>
      </c>
      <c r="AE260" s="72">
        <f t="shared" si="143"/>
        <v>0.5</v>
      </c>
      <c r="AF260" s="72">
        <f t="shared" ca="1" si="144"/>
        <v>0.6</v>
      </c>
      <c r="AG260" s="73">
        <f t="shared" ca="1" si="145"/>
        <v>0.53333333333333333</v>
      </c>
      <c r="AH260" s="456">
        <f t="shared" si="146"/>
        <v>5.157894736842108</v>
      </c>
      <c r="AI260" s="467">
        <f t="shared" ca="1" si="147"/>
        <v>27.508771929824576</v>
      </c>
      <c r="AJ260" s="458" t="str">
        <f t="shared" ca="1" si="148"/>
        <v>Q4</v>
      </c>
      <c r="AK260" s="95" t="s">
        <v>370</v>
      </c>
      <c r="AL260" s="111"/>
      <c r="AM260" s="117"/>
      <c r="AN260" s="113"/>
      <c r="AO260" s="113"/>
      <c r="AP260" s="113"/>
      <c r="AQ260" s="121"/>
      <c r="AR260" s="436"/>
      <c r="AS260" s="437"/>
      <c r="AT260" s="437"/>
      <c r="AU260" s="437"/>
      <c r="AV260" s="437"/>
      <c r="AW260" s="94"/>
    </row>
    <row r="261" spans="1:49" ht="36" customHeight="1">
      <c r="A261" s="5">
        <v>364</v>
      </c>
      <c r="B261" s="625">
        <v>274</v>
      </c>
      <c r="C261" s="6" t="s">
        <v>44</v>
      </c>
      <c r="D261" s="371" t="s">
        <v>7</v>
      </c>
      <c r="E261" s="10" t="s">
        <v>269</v>
      </c>
      <c r="F261" s="13" t="s">
        <v>1228</v>
      </c>
      <c r="G261" s="116" t="s">
        <v>270</v>
      </c>
      <c r="H261" s="600">
        <v>100000</v>
      </c>
      <c r="I261" s="50">
        <v>3</v>
      </c>
      <c r="J261" s="55">
        <v>0.3</v>
      </c>
      <c r="K261" s="49"/>
      <c r="L261" s="56"/>
      <c r="M261" s="61">
        <v>4.0000000000000027</v>
      </c>
      <c r="N261" s="62">
        <v>6.0000000000000036</v>
      </c>
      <c r="O261" s="62">
        <v>6.0000000000000036</v>
      </c>
      <c r="P261" s="62">
        <v>1</v>
      </c>
      <c r="Q261" s="62">
        <v>6</v>
      </c>
      <c r="R261" s="62">
        <v>4.0000000000000027</v>
      </c>
      <c r="S261" s="62">
        <v>0</v>
      </c>
      <c r="T261" s="63">
        <v>6.0000000000000036</v>
      </c>
      <c r="U261" s="66" t="e">
        <f t="shared" ca="1" si="133"/>
        <v>#DIV/0!</v>
      </c>
      <c r="V261" s="66">
        <f t="shared" ca="1" si="134"/>
        <v>0.3</v>
      </c>
      <c r="W261" s="70">
        <f t="shared" si="135"/>
        <v>0.63157894736842146</v>
      </c>
      <c r="X261" s="70">
        <f t="shared" si="136"/>
        <v>0.63157894736842146</v>
      </c>
      <c r="Y261" s="70">
        <f t="shared" si="137"/>
        <v>0.84210526315789525</v>
      </c>
      <c r="Z261" s="70">
        <f t="shared" si="138"/>
        <v>0.17543859649122806</v>
      </c>
      <c r="AA261" s="70">
        <f t="shared" si="139"/>
        <v>0.52631578947368418</v>
      </c>
      <c r="AB261" s="70">
        <f t="shared" si="140"/>
        <v>0.4912280701754389</v>
      </c>
      <c r="AC261" s="70">
        <f t="shared" si="141"/>
        <v>0</v>
      </c>
      <c r="AD261" s="71">
        <f t="shared" si="142"/>
        <v>0.63157894736842146</v>
      </c>
      <c r="AE261" s="72">
        <f t="shared" si="143"/>
        <v>0.7</v>
      </c>
      <c r="AF261" s="72">
        <f t="shared" ca="1" si="144"/>
        <v>0.7</v>
      </c>
      <c r="AG261" s="73">
        <f t="shared" ca="1" si="145"/>
        <v>0.69999999999999984</v>
      </c>
      <c r="AH261" s="456">
        <f t="shared" si="146"/>
        <v>3.9298245614035103</v>
      </c>
      <c r="AI261" s="467">
        <f t="shared" ca="1" si="147"/>
        <v>27.508771929824569</v>
      </c>
      <c r="AJ261" s="458" t="str">
        <f t="shared" ca="1" si="148"/>
        <v>Q4</v>
      </c>
      <c r="AK261" s="95" t="s">
        <v>370</v>
      </c>
      <c r="AL261" s="573"/>
      <c r="AM261" s="117"/>
      <c r="AN261" s="113"/>
      <c r="AO261" s="113"/>
      <c r="AP261" s="113"/>
      <c r="AQ261" s="121"/>
      <c r="AR261" s="436"/>
      <c r="AS261" s="437"/>
      <c r="AT261" s="437"/>
      <c r="AU261" s="437"/>
      <c r="AV261" s="437"/>
      <c r="AW261" s="94"/>
    </row>
    <row r="262" spans="1:49" ht="36" customHeight="1">
      <c r="A262" s="5">
        <v>325</v>
      </c>
      <c r="B262" s="625">
        <v>287</v>
      </c>
      <c r="C262" s="6" t="s">
        <v>8</v>
      </c>
      <c r="D262" s="371" t="s">
        <v>7</v>
      </c>
      <c r="E262" s="7" t="s">
        <v>1404</v>
      </c>
      <c r="F262" s="8" t="s">
        <v>1402</v>
      </c>
      <c r="G262" s="8" t="s">
        <v>308</v>
      </c>
      <c r="H262" s="608">
        <v>200000</v>
      </c>
      <c r="I262" s="50">
        <v>2</v>
      </c>
      <c r="J262" s="55">
        <v>0</v>
      </c>
      <c r="K262" s="49"/>
      <c r="L262" s="56"/>
      <c r="M262" s="61">
        <v>2</v>
      </c>
      <c r="N262" s="62">
        <v>4.0000000000000027</v>
      </c>
      <c r="O262" s="62">
        <v>1</v>
      </c>
      <c r="P262" s="62">
        <v>6.0000000000000036</v>
      </c>
      <c r="Q262" s="62">
        <v>4.0000000000000027</v>
      </c>
      <c r="R262" s="62">
        <v>4.0000000000000027</v>
      </c>
      <c r="S262" s="62">
        <v>1</v>
      </c>
      <c r="T262" s="63">
        <v>1</v>
      </c>
      <c r="U262" s="66" t="e">
        <f t="shared" ca="1" si="133"/>
        <v>#DIV/0!</v>
      </c>
      <c r="V262" s="66">
        <f t="shared" ca="1" si="134"/>
        <v>0</v>
      </c>
      <c r="W262" s="70">
        <f t="shared" si="135"/>
        <v>0.31578947368421051</v>
      </c>
      <c r="X262" s="70">
        <f t="shared" si="136"/>
        <v>0.42105263157894762</v>
      </c>
      <c r="Y262" s="70">
        <f t="shared" si="137"/>
        <v>0.14035087719298245</v>
      </c>
      <c r="Z262" s="70">
        <f t="shared" si="138"/>
        <v>1.052631578947369</v>
      </c>
      <c r="AA262" s="70">
        <f t="shared" si="139"/>
        <v>0.3508771929824564</v>
      </c>
      <c r="AB262" s="70">
        <f t="shared" si="140"/>
        <v>0.4912280701754389</v>
      </c>
      <c r="AC262" s="70">
        <f t="shared" si="141"/>
        <v>0.10526315789473684</v>
      </c>
      <c r="AD262" s="71">
        <f t="shared" si="142"/>
        <v>0.10526315789473684</v>
      </c>
      <c r="AE262" s="72">
        <f t="shared" si="143"/>
        <v>0.8</v>
      </c>
      <c r="AF262" s="72">
        <f t="shared" ca="1" si="144"/>
        <v>1</v>
      </c>
      <c r="AG262" s="73">
        <f t="shared" ca="1" si="145"/>
        <v>0.8666666666666667</v>
      </c>
      <c r="AH262" s="456">
        <f t="shared" si="146"/>
        <v>2.9824561403508785</v>
      </c>
      <c r="AI262" s="467">
        <f t="shared" ca="1" si="147"/>
        <v>25.847953216374279</v>
      </c>
      <c r="AJ262" s="458" t="str">
        <f t="shared" ca="1" si="148"/>
        <v>Q2</v>
      </c>
      <c r="AK262" s="95" t="s">
        <v>370</v>
      </c>
      <c r="AL262" s="572"/>
      <c r="AM262" s="117"/>
      <c r="AN262" s="113"/>
      <c r="AO262" s="113"/>
      <c r="AP262" s="113"/>
      <c r="AQ262" s="121"/>
      <c r="AR262" s="436"/>
      <c r="AS262" s="437"/>
      <c r="AT262" s="437"/>
      <c r="AU262" s="437"/>
      <c r="AV262" s="437"/>
      <c r="AW262" s="94"/>
    </row>
    <row r="263" spans="1:49" ht="36" customHeight="1">
      <c r="A263" s="5">
        <v>333</v>
      </c>
      <c r="B263" s="625">
        <v>296</v>
      </c>
      <c r="C263" s="6" t="s">
        <v>44</v>
      </c>
      <c r="D263" s="371" t="s">
        <v>7</v>
      </c>
      <c r="E263" s="18" t="s">
        <v>108</v>
      </c>
      <c r="F263" s="19" t="s">
        <v>1229</v>
      </c>
      <c r="G263" s="20" t="s">
        <v>109</v>
      </c>
      <c r="H263" s="603">
        <v>192000</v>
      </c>
      <c r="I263" s="50">
        <v>4</v>
      </c>
      <c r="J263" s="55">
        <v>0.2</v>
      </c>
      <c r="K263" s="49"/>
      <c r="L263" s="56"/>
      <c r="M263" s="61">
        <v>2</v>
      </c>
      <c r="N263" s="62">
        <v>4</v>
      </c>
      <c r="O263" s="62">
        <v>4</v>
      </c>
      <c r="P263" s="62">
        <v>2</v>
      </c>
      <c r="Q263" s="62">
        <v>6</v>
      </c>
      <c r="R263" s="62">
        <v>4.0000000000000027</v>
      </c>
      <c r="S263" s="62">
        <v>2</v>
      </c>
      <c r="T263" s="63">
        <v>8.0000000000000053</v>
      </c>
      <c r="U263" s="66" t="e">
        <f t="shared" ca="1" si="133"/>
        <v>#DIV/0!</v>
      </c>
      <c r="V263" s="66">
        <f t="shared" ca="1" si="134"/>
        <v>0.2</v>
      </c>
      <c r="W263" s="70">
        <f t="shared" si="135"/>
        <v>0.31578947368421051</v>
      </c>
      <c r="X263" s="70">
        <f t="shared" si="136"/>
        <v>0.42105263157894735</v>
      </c>
      <c r="Y263" s="70">
        <f t="shared" si="137"/>
        <v>0.56140350877192979</v>
      </c>
      <c r="Z263" s="70">
        <f t="shared" si="138"/>
        <v>0.35087719298245612</v>
      </c>
      <c r="AA263" s="70">
        <f t="shared" si="139"/>
        <v>0.52631578947368418</v>
      </c>
      <c r="AB263" s="70">
        <f t="shared" si="140"/>
        <v>0.4912280701754389</v>
      </c>
      <c r="AC263" s="70">
        <f t="shared" si="141"/>
        <v>0.21052631578947367</v>
      </c>
      <c r="AD263" s="71">
        <f t="shared" si="142"/>
        <v>0.84210526315789525</v>
      </c>
      <c r="AE263" s="72">
        <f t="shared" si="143"/>
        <v>0.6</v>
      </c>
      <c r="AF263" s="72">
        <f t="shared" ca="1" si="144"/>
        <v>0.8</v>
      </c>
      <c r="AG263" s="73">
        <f t="shared" ca="1" si="145"/>
        <v>0.66666666666666663</v>
      </c>
      <c r="AH263" s="456">
        <f t="shared" si="146"/>
        <v>3.7192982456140355</v>
      </c>
      <c r="AI263" s="467">
        <f t="shared" ca="1" si="147"/>
        <v>24.795321637426902</v>
      </c>
      <c r="AJ263" s="458" t="str">
        <f t="shared" ca="1" si="148"/>
        <v>Q4</v>
      </c>
      <c r="AK263" s="95" t="s">
        <v>370</v>
      </c>
      <c r="AL263" s="572"/>
      <c r="AM263" s="117"/>
      <c r="AN263" s="113"/>
      <c r="AO263" s="113"/>
      <c r="AP263" s="113"/>
      <c r="AQ263" s="121"/>
      <c r="AR263" s="436"/>
      <c r="AS263" s="437"/>
      <c r="AT263" s="437"/>
      <c r="AU263" s="437"/>
      <c r="AV263" s="437"/>
      <c r="AW263" s="94"/>
    </row>
    <row r="264" spans="1:49" ht="36" customHeight="1">
      <c r="A264" s="5">
        <v>341</v>
      </c>
      <c r="B264" s="625">
        <v>302</v>
      </c>
      <c r="C264" s="14" t="s">
        <v>18</v>
      </c>
      <c r="D264" s="442" t="s">
        <v>416</v>
      </c>
      <c r="E264" s="12" t="s">
        <v>325</v>
      </c>
      <c r="F264" s="22" t="s">
        <v>326</v>
      </c>
      <c r="G264" s="112" t="s">
        <v>327</v>
      </c>
      <c r="H264" s="600">
        <v>1500000</v>
      </c>
      <c r="I264" s="50">
        <v>3</v>
      </c>
      <c r="J264" s="55">
        <v>0.5</v>
      </c>
      <c r="K264" s="49"/>
      <c r="L264" s="56"/>
      <c r="M264" s="61">
        <v>2</v>
      </c>
      <c r="N264" s="62">
        <v>5.0000000000000027</v>
      </c>
      <c r="O264" s="62">
        <v>1</v>
      </c>
      <c r="P264" s="62">
        <v>4.0000000000000027</v>
      </c>
      <c r="Q264" s="62">
        <v>1</v>
      </c>
      <c r="R264" s="62">
        <v>8.0000000000000053</v>
      </c>
      <c r="S264" s="62">
        <v>0</v>
      </c>
      <c r="T264" s="63">
        <v>9.0000000000000018</v>
      </c>
      <c r="U264" s="66" t="e">
        <f t="shared" ca="1" si="133"/>
        <v>#DIV/0!</v>
      </c>
      <c r="V264" s="66">
        <f t="shared" ca="1" si="134"/>
        <v>0.5</v>
      </c>
      <c r="W264" s="70">
        <f t="shared" si="135"/>
        <v>0.31578947368421051</v>
      </c>
      <c r="X264" s="70">
        <f t="shared" si="136"/>
        <v>0.52631578947368451</v>
      </c>
      <c r="Y264" s="70">
        <f t="shared" si="137"/>
        <v>0.14035087719298245</v>
      </c>
      <c r="Z264" s="70">
        <f t="shared" si="138"/>
        <v>0.7017543859649128</v>
      </c>
      <c r="AA264" s="70">
        <f t="shared" si="139"/>
        <v>8.771929824561403E-2</v>
      </c>
      <c r="AB264" s="70">
        <f t="shared" si="140"/>
        <v>0.9824561403508778</v>
      </c>
      <c r="AC264" s="70">
        <f t="shared" si="141"/>
        <v>0</v>
      </c>
      <c r="AD264" s="71">
        <f t="shared" si="142"/>
        <v>0.94736842105263186</v>
      </c>
      <c r="AE264" s="72">
        <f t="shared" si="143"/>
        <v>0.7</v>
      </c>
      <c r="AF264" s="72">
        <f t="shared" ca="1" si="144"/>
        <v>0.5</v>
      </c>
      <c r="AG264" s="73">
        <f t="shared" ca="1" si="145"/>
        <v>0.6333333333333333</v>
      </c>
      <c r="AH264" s="456">
        <f t="shared" si="146"/>
        <v>3.701754385964914</v>
      </c>
      <c r="AI264" s="467">
        <f t="shared" ca="1" si="147"/>
        <v>23.444444444444454</v>
      </c>
      <c r="AJ264" s="458" t="str">
        <f t="shared" ca="1" si="148"/>
        <v>Q4</v>
      </c>
      <c r="AK264" s="95" t="s">
        <v>370</v>
      </c>
      <c r="AL264" s="572"/>
      <c r="AM264" s="117"/>
      <c r="AN264" s="113"/>
      <c r="AO264" s="113"/>
      <c r="AP264" s="113"/>
      <c r="AQ264" s="121"/>
      <c r="AR264" s="436"/>
      <c r="AS264" s="437"/>
      <c r="AT264" s="437"/>
      <c r="AU264" s="437"/>
      <c r="AV264" s="437"/>
      <c r="AW264" s="94"/>
    </row>
    <row r="265" spans="1:49" ht="36" customHeight="1">
      <c r="A265" s="5">
        <v>370</v>
      </c>
      <c r="B265" s="625">
        <v>305</v>
      </c>
      <c r="C265" s="14" t="s">
        <v>44</v>
      </c>
      <c r="D265" s="442" t="s">
        <v>416</v>
      </c>
      <c r="E265" s="10" t="s">
        <v>193</v>
      </c>
      <c r="F265" s="13" t="s">
        <v>194</v>
      </c>
      <c r="G265" s="116" t="s">
        <v>195</v>
      </c>
      <c r="H265" s="600">
        <v>148135</v>
      </c>
      <c r="I265" s="50">
        <v>3</v>
      </c>
      <c r="J265" s="55">
        <v>0.4</v>
      </c>
      <c r="K265" s="49"/>
      <c r="L265" s="56"/>
      <c r="M265" s="61">
        <v>2</v>
      </c>
      <c r="N265" s="62">
        <v>4.0000000000000027</v>
      </c>
      <c r="O265" s="62">
        <v>2</v>
      </c>
      <c r="P265" s="62">
        <v>4</v>
      </c>
      <c r="Q265" s="62">
        <v>6</v>
      </c>
      <c r="R265" s="62">
        <v>4.0000000000000027</v>
      </c>
      <c r="S265" s="62">
        <v>0</v>
      </c>
      <c r="T265" s="63">
        <v>6.0000000000000036</v>
      </c>
      <c r="U265" s="66" t="e">
        <f t="shared" ca="1" si="133"/>
        <v>#DIV/0!</v>
      </c>
      <c r="V265" s="66">
        <f t="shared" ca="1" si="134"/>
        <v>0.4</v>
      </c>
      <c r="W265" s="70">
        <f t="shared" si="135"/>
        <v>0.31578947368421051</v>
      </c>
      <c r="X265" s="70">
        <f t="shared" si="136"/>
        <v>0.42105263157894762</v>
      </c>
      <c r="Y265" s="70">
        <f t="shared" si="137"/>
        <v>0.2807017543859649</v>
      </c>
      <c r="Z265" s="70">
        <f t="shared" si="138"/>
        <v>0.70175438596491224</v>
      </c>
      <c r="AA265" s="70">
        <f t="shared" si="139"/>
        <v>0.52631578947368418</v>
      </c>
      <c r="AB265" s="70">
        <f t="shared" si="140"/>
        <v>0.4912280701754389</v>
      </c>
      <c r="AC265" s="70">
        <f t="shared" si="141"/>
        <v>0</v>
      </c>
      <c r="AD265" s="71">
        <f t="shared" si="142"/>
        <v>0.63157894736842146</v>
      </c>
      <c r="AE265" s="72">
        <f t="shared" si="143"/>
        <v>0.7</v>
      </c>
      <c r="AF265" s="72">
        <f t="shared" ca="1" si="144"/>
        <v>0.6</v>
      </c>
      <c r="AG265" s="73">
        <f t="shared" ca="1" si="145"/>
        <v>0.66666666666666663</v>
      </c>
      <c r="AH265" s="456">
        <f t="shared" si="146"/>
        <v>3.3684210526315796</v>
      </c>
      <c r="AI265" s="467">
        <f t="shared" ca="1" si="147"/>
        <v>22.456140350877195</v>
      </c>
      <c r="AJ265" s="458" t="str">
        <f t="shared" ca="1" si="148"/>
        <v>Q4</v>
      </c>
      <c r="AK265" s="95" t="s">
        <v>370</v>
      </c>
      <c r="AL265" s="572"/>
      <c r="AM265" s="117"/>
      <c r="AN265" s="113"/>
      <c r="AO265" s="113"/>
      <c r="AP265" s="113"/>
      <c r="AQ265" s="121"/>
      <c r="AR265" s="436"/>
      <c r="AS265" s="437"/>
      <c r="AT265" s="437"/>
      <c r="AU265" s="437"/>
      <c r="AV265" s="437"/>
      <c r="AW265" s="94"/>
    </row>
    <row r="266" spans="1:49" ht="36" customHeight="1">
      <c r="A266" s="5">
        <v>272</v>
      </c>
      <c r="B266" s="625">
        <v>309</v>
      </c>
      <c r="C266" s="14" t="s">
        <v>44</v>
      </c>
      <c r="D266" s="442" t="s">
        <v>416</v>
      </c>
      <c r="E266" s="12" t="s">
        <v>309</v>
      </c>
      <c r="F266" s="22" t="s">
        <v>310</v>
      </c>
      <c r="G266" s="116" t="s">
        <v>311</v>
      </c>
      <c r="H266" s="600">
        <v>406600</v>
      </c>
      <c r="I266" s="50">
        <v>3</v>
      </c>
      <c r="J266" s="55">
        <v>0.3</v>
      </c>
      <c r="K266" s="49"/>
      <c r="L266" s="56"/>
      <c r="M266" s="61">
        <v>2</v>
      </c>
      <c r="N266" s="62">
        <v>4.0000000000000027</v>
      </c>
      <c r="O266" s="62">
        <v>0</v>
      </c>
      <c r="P266" s="62">
        <v>4.0000000000000027</v>
      </c>
      <c r="Q266" s="62">
        <v>1</v>
      </c>
      <c r="R266" s="62">
        <v>4</v>
      </c>
      <c r="S266" s="62">
        <v>0</v>
      </c>
      <c r="T266" s="63">
        <v>8.0000000000000053</v>
      </c>
      <c r="U266" s="66" t="e">
        <f t="shared" ca="1" si="133"/>
        <v>#DIV/0!</v>
      </c>
      <c r="V266" s="66">
        <f t="shared" ca="1" si="134"/>
        <v>0.3</v>
      </c>
      <c r="W266" s="70">
        <f t="shared" si="135"/>
        <v>0.31578947368421051</v>
      </c>
      <c r="X266" s="70">
        <f t="shared" si="136"/>
        <v>0.42105263157894762</v>
      </c>
      <c r="Y266" s="70">
        <f t="shared" si="137"/>
        <v>0</v>
      </c>
      <c r="Z266" s="70">
        <f t="shared" si="138"/>
        <v>0.7017543859649128</v>
      </c>
      <c r="AA266" s="70">
        <f t="shared" si="139"/>
        <v>8.771929824561403E-2</v>
      </c>
      <c r="AB266" s="70">
        <f t="shared" si="140"/>
        <v>0.49122807017543857</v>
      </c>
      <c r="AC266" s="70">
        <f t="shared" si="141"/>
        <v>0</v>
      </c>
      <c r="AD266" s="71">
        <f t="shared" si="142"/>
        <v>0.84210526315789525</v>
      </c>
      <c r="AE266" s="72">
        <f t="shared" si="143"/>
        <v>0.7</v>
      </c>
      <c r="AF266" s="72">
        <f t="shared" ca="1" si="144"/>
        <v>0.7</v>
      </c>
      <c r="AG266" s="73">
        <f t="shared" ca="1" si="145"/>
        <v>0.69999999999999984</v>
      </c>
      <c r="AH266" s="456">
        <f t="shared" si="146"/>
        <v>2.8596491228070189</v>
      </c>
      <c r="AI266" s="467">
        <f t="shared" ca="1" si="147"/>
        <v>20.01754385964913</v>
      </c>
      <c r="AJ266" s="458" t="str">
        <f t="shared" ca="1" si="148"/>
        <v>Q4</v>
      </c>
      <c r="AK266" s="95" t="s">
        <v>370</v>
      </c>
      <c r="AL266" s="572"/>
      <c r="AM266" s="117"/>
      <c r="AN266" s="113"/>
      <c r="AO266" s="113"/>
      <c r="AP266" s="113"/>
      <c r="AQ266" s="121"/>
      <c r="AR266" s="436"/>
      <c r="AS266" s="437"/>
      <c r="AT266" s="437"/>
      <c r="AU266" s="437"/>
      <c r="AV266" s="437"/>
      <c r="AW266" s="94"/>
    </row>
    <row r="267" spans="1:49" s="228" customFormat="1" ht="36" customHeight="1">
      <c r="A267" s="5">
        <v>203</v>
      </c>
      <c r="B267" s="625">
        <v>310</v>
      </c>
      <c r="C267" s="14" t="s">
        <v>18</v>
      </c>
      <c r="D267" s="442" t="s">
        <v>416</v>
      </c>
      <c r="E267" s="12" t="s">
        <v>315</v>
      </c>
      <c r="F267" s="22" t="s">
        <v>316</v>
      </c>
      <c r="G267" s="112" t="s">
        <v>317</v>
      </c>
      <c r="H267" s="600">
        <v>640000</v>
      </c>
      <c r="I267" s="50">
        <v>5</v>
      </c>
      <c r="J267" s="55">
        <v>0.5</v>
      </c>
      <c r="K267" s="49"/>
      <c r="L267" s="56"/>
      <c r="M267" s="61">
        <v>4.0000000000000027</v>
      </c>
      <c r="N267" s="62">
        <v>6</v>
      </c>
      <c r="O267" s="62">
        <v>2</v>
      </c>
      <c r="P267" s="62">
        <v>5</v>
      </c>
      <c r="Q267" s="62">
        <v>2</v>
      </c>
      <c r="R267" s="62">
        <v>6</v>
      </c>
      <c r="S267" s="62">
        <v>0</v>
      </c>
      <c r="T267" s="63">
        <v>6</v>
      </c>
      <c r="U267" s="66" t="e">
        <f t="shared" ca="1" si="133"/>
        <v>#DIV/0!</v>
      </c>
      <c r="V267" s="66">
        <f t="shared" ca="1" si="134"/>
        <v>0.5</v>
      </c>
      <c r="W267" s="70">
        <f t="shared" si="135"/>
        <v>0.63157894736842146</v>
      </c>
      <c r="X267" s="70">
        <f t="shared" si="136"/>
        <v>0.63157894736842102</v>
      </c>
      <c r="Y267" s="70">
        <f t="shared" si="137"/>
        <v>0.2807017543859649</v>
      </c>
      <c r="Z267" s="70">
        <f t="shared" si="138"/>
        <v>0.8771929824561403</v>
      </c>
      <c r="AA267" s="70">
        <f t="shared" si="139"/>
        <v>0.17543859649122806</v>
      </c>
      <c r="AB267" s="70">
        <f t="shared" si="140"/>
        <v>0.73684210526315785</v>
      </c>
      <c r="AC267" s="70">
        <f t="shared" si="141"/>
        <v>0</v>
      </c>
      <c r="AD267" s="71">
        <f t="shared" si="142"/>
        <v>0.63157894736842102</v>
      </c>
      <c r="AE267" s="72">
        <f t="shared" si="143"/>
        <v>0.5</v>
      </c>
      <c r="AF267" s="72">
        <f t="shared" ca="1" si="144"/>
        <v>0.5</v>
      </c>
      <c r="AG267" s="73">
        <f t="shared" ca="1" si="145"/>
        <v>0.5</v>
      </c>
      <c r="AH267" s="456">
        <f t="shared" si="146"/>
        <v>3.9649122807017552</v>
      </c>
      <c r="AI267" s="467">
        <f t="shared" ca="1" si="147"/>
        <v>19.824561403508774</v>
      </c>
      <c r="AJ267" s="458" t="str">
        <f t="shared" ca="1" si="148"/>
        <v>Q4</v>
      </c>
      <c r="AK267" s="95" t="s">
        <v>370</v>
      </c>
      <c r="AL267" s="111"/>
      <c r="AM267" s="117"/>
      <c r="AN267" s="113"/>
      <c r="AO267" s="113"/>
      <c r="AP267" s="113"/>
      <c r="AQ267" s="121"/>
      <c r="AR267" s="436"/>
      <c r="AS267" s="437"/>
      <c r="AT267" s="437"/>
      <c r="AU267" s="437"/>
      <c r="AV267" s="437"/>
      <c r="AW267" s="94"/>
    </row>
    <row r="268" spans="1:49" ht="36" customHeight="1">
      <c r="A268" s="1">
        <v>206</v>
      </c>
      <c r="B268" s="625">
        <v>311</v>
      </c>
      <c r="C268" s="425" t="s">
        <v>44</v>
      </c>
      <c r="D268" s="426" t="s">
        <v>416</v>
      </c>
      <c r="E268" s="441" t="s">
        <v>300</v>
      </c>
      <c r="F268" s="645" t="s">
        <v>301</v>
      </c>
      <c r="G268" s="488" t="s">
        <v>195</v>
      </c>
      <c r="H268" s="599">
        <v>146000</v>
      </c>
      <c r="I268" s="380">
        <v>5</v>
      </c>
      <c r="J268" s="377">
        <v>0.5</v>
      </c>
      <c r="K268" s="376"/>
      <c r="L268" s="378"/>
      <c r="M268" s="61">
        <v>3</v>
      </c>
      <c r="N268" s="62">
        <v>4.0000000000000027</v>
      </c>
      <c r="O268" s="62">
        <v>3</v>
      </c>
      <c r="P268" s="62">
        <v>5</v>
      </c>
      <c r="Q268" s="62">
        <v>6</v>
      </c>
      <c r="R268" s="62">
        <v>4.0000000000000027</v>
      </c>
      <c r="S268" s="62">
        <v>0</v>
      </c>
      <c r="T268" s="63">
        <v>6.0000000000000036</v>
      </c>
      <c r="U268" s="379" t="e">
        <f t="shared" ca="1" si="133"/>
        <v>#DIV/0!</v>
      </c>
      <c r="V268" s="379">
        <f t="shared" ca="1" si="134"/>
        <v>0.5</v>
      </c>
      <c r="W268" s="70">
        <f t="shared" si="135"/>
        <v>0.47368421052631576</v>
      </c>
      <c r="X268" s="70">
        <f t="shared" si="136"/>
        <v>0.42105263157894762</v>
      </c>
      <c r="Y268" s="70">
        <f t="shared" si="137"/>
        <v>0.42105263157894735</v>
      </c>
      <c r="Z268" s="70">
        <f t="shared" si="138"/>
        <v>0.8771929824561403</v>
      </c>
      <c r="AA268" s="70">
        <f t="shared" si="139"/>
        <v>0.52631578947368418</v>
      </c>
      <c r="AB268" s="70">
        <f t="shared" si="140"/>
        <v>0.4912280701754389</v>
      </c>
      <c r="AC268" s="70">
        <f t="shared" si="141"/>
        <v>0</v>
      </c>
      <c r="AD268" s="71">
        <f t="shared" si="142"/>
        <v>0.63157894736842146</v>
      </c>
      <c r="AE268" s="72">
        <f t="shared" si="143"/>
        <v>0.5</v>
      </c>
      <c r="AF268" s="72">
        <f t="shared" ca="1" si="144"/>
        <v>0.5</v>
      </c>
      <c r="AG268" s="73">
        <f t="shared" ca="1" si="145"/>
        <v>0.5</v>
      </c>
      <c r="AH268" s="455">
        <f t="shared" si="146"/>
        <v>3.8421052631578956</v>
      </c>
      <c r="AI268" s="466">
        <f t="shared" ca="1" si="147"/>
        <v>19.21052631578948</v>
      </c>
      <c r="AJ268" s="458" t="str">
        <f t="shared" ca="1" si="148"/>
        <v>Q4</v>
      </c>
      <c r="AK268" s="373" t="s">
        <v>370</v>
      </c>
      <c r="AL268" s="573"/>
      <c r="AM268" s="117"/>
      <c r="AN268" s="113"/>
      <c r="AO268" s="113"/>
      <c r="AP268" s="113"/>
      <c r="AQ268" s="121"/>
      <c r="AR268" s="436"/>
      <c r="AS268" s="437"/>
      <c r="AT268" s="437"/>
      <c r="AU268" s="437"/>
      <c r="AV268" s="437"/>
      <c r="AW268" s="92"/>
    </row>
    <row r="269" spans="1:49" ht="36" customHeight="1">
      <c r="A269" s="1"/>
      <c r="B269" s="743" t="s">
        <v>1565</v>
      </c>
      <c r="C269" s="744"/>
      <c r="D269" s="744"/>
      <c r="E269" s="744"/>
      <c r="F269" s="745"/>
      <c r="G269" s="488"/>
      <c r="H269" s="599"/>
      <c r="I269" s="380"/>
      <c r="J269" s="377"/>
      <c r="K269" s="376"/>
      <c r="L269" s="378"/>
      <c r="M269" s="61"/>
      <c r="N269" s="62"/>
      <c r="O269" s="62"/>
      <c r="P269" s="62"/>
      <c r="Q269" s="62"/>
      <c r="R269" s="62"/>
      <c r="S269" s="62"/>
      <c r="T269" s="63"/>
      <c r="U269" s="379"/>
      <c r="V269" s="379"/>
      <c r="W269" s="70"/>
      <c r="X269" s="70"/>
      <c r="Y269" s="70"/>
      <c r="Z269" s="70"/>
      <c r="AA269" s="70"/>
      <c r="AB269" s="70"/>
      <c r="AC269" s="70"/>
      <c r="AD269" s="71"/>
      <c r="AE269" s="72"/>
      <c r="AF269" s="72"/>
      <c r="AG269" s="73"/>
      <c r="AH269" s="455"/>
      <c r="AI269" s="466"/>
      <c r="AJ269" s="458"/>
      <c r="AK269" s="373"/>
      <c r="AL269" s="572"/>
      <c r="AM269" s="117"/>
      <c r="AN269" s="113"/>
      <c r="AO269" s="113"/>
      <c r="AP269" s="113"/>
      <c r="AQ269" s="121"/>
      <c r="AR269" s="436"/>
      <c r="AS269" s="437"/>
      <c r="AT269" s="437"/>
      <c r="AU269" s="437"/>
      <c r="AV269" s="437"/>
      <c r="AW269" s="92"/>
    </row>
    <row r="270" spans="1:49" ht="36" customHeight="1">
      <c r="A270" s="5">
        <v>311</v>
      </c>
      <c r="B270" s="625">
        <v>42</v>
      </c>
      <c r="C270" s="14" t="s">
        <v>8</v>
      </c>
      <c r="D270" s="442" t="s">
        <v>7</v>
      </c>
      <c r="E270" s="7" t="s">
        <v>438</v>
      </c>
      <c r="F270" s="8" t="s">
        <v>1337</v>
      </c>
      <c r="G270" s="8"/>
      <c r="H270" s="600">
        <v>1000000</v>
      </c>
      <c r="I270" s="49">
        <v>3</v>
      </c>
      <c r="J270" s="55">
        <v>0.2</v>
      </c>
      <c r="K270" s="49"/>
      <c r="L270" s="56"/>
      <c r="M270" s="61">
        <v>6</v>
      </c>
      <c r="N270" s="62">
        <v>8</v>
      </c>
      <c r="O270" s="62">
        <v>7</v>
      </c>
      <c r="P270" s="62">
        <v>4.0000000000000027</v>
      </c>
      <c r="Q270" s="62">
        <v>0</v>
      </c>
      <c r="R270" s="62">
        <v>8.0000000000000053</v>
      </c>
      <c r="S270" s="62">
        <v>9</v>
      </c>
      <c r="T270" s="63">
        <v>9.9999999999999982</v>
      </c>
      <c r="U270" s="66" t="e">
        <f ca="1">(L270-(YEAR(TODAY())-K270))/L270</f>
        <v>#DIV/0!</v>
      </c>
      <c r="V270" s="66">
        <f ca="1">IFERROR(U270,J270)</f>
        <v>0.2</v>
      </c>
      <c r="W270" s="70">
        <f>M270*Weight1/(WSum)</f>
        <v>0.94736842105263153</v>
      </c>
      <c r="X270" s="70">
        <f>N270*Weight2/(WSum)</f>
        <v>0.84210526315789469</v>
      </c>
      <c r="Y270" s="70">
        <f>O270*Weight3/(WSum)</f>
        <v>0.98245614035087714</v>
      </c>
      <c r="Z270" s="70">
        <f>P270*Weight4/(WSum)</f>
        <v>0.7017543859649128</v>
      </c>
      <c r="AA270" s="70">
        <f>Q270*Weight5/(WSum)</f>
        <v>0</v>
      </c>
      <c r="AB270" s="70">
        <f>R270*Weight6/(WSum)</f>
        <v>0.9824561403508778</v>
      </c>
      <c r="AC270" s="70">
        <f>S270*Weight7/(WSum)</f>
        <v>0.94736842105263153</v>
      </c>
      <c r="AD270" s="71">
        <f>T270*Weight8/(WSum)</f>
        <v>1.0526315789473681</v>
      </c>
      <c r="AE270" s="72">
        <f>-1/10*I270+1</f>
        <v>0.7</v>
      </c>
      <c r="AF270" s="72">
        <f ca="1">IF(V270&lt;0,0,-V270+1)</f>
        <v>0.8</v>
      </c>
      <c r="AG270" s="73">
        <f ca="1">(AE270*CondWeight+AF270*PLifeWeight)/(CondWeight+PLifeWeight)</f>
        <v>0.73333333333333339</v>
      </c>
      <c r="AH270" s="456">
        <f>SUM(W270:AD270)</f>
        <v>6.4561403508771935</v>
      </c>
      <c r="AI270" s="467">
        <f ca="1">AH270*AG270*10</f>
        <v>47.345029239766092</v>
      </c>
      <c r="AJ270" s="458" t="str">
        <f ca="1">IF(AG270&gt;$AG$2,IF(AH270&gt;$AH$2,"Q1","Q2"),IF(AH270&gt;$AH$2,"Q3","Q4"))</f>
        <v>Q3</v>
      </c>
      <c r="AK270" s="93" t="s">
        <v>414</v>
      </c>
      <c r="AL270" s="571"/>
      <c r="AM270" s="117"/>
      <c r="AN270" s="113">
        <v>1000000</v>
      </c>
      <c r="AO270" s="113"/>
      <c r="AP270" s="113"/>
      <c r="AQ270" s="121"/>
      <c r="AR270" s="438"/>
      <c r="AS270" s="437">
        <f>AN270*(1+Efactor)</f>
        <v>1034999.9999999999</v>
      </c>
      <c r="AT270" s="437"/>
      <c r="AU270" s="437"/>
      <c r="AV270" s="437"/>
      <c r="AW270" s="94"/>
    </row>
    <row r="271" spans="1:49" ht="36" customHeight="1">
      <c r="A271" s="5">
        <v>197</v>
      </c>
      <c r="B271" s="625">
        <v>62</v>
      </c>
      <c r="C271" s="14" t="s">
        <v>8</v>
      </c>
      <c r="D271" s="442" t="s">
        <v>7</v>
      </c>
      <c r="E271" s="7" t="s">
        <v>438</v>
      </c>
      <c r="F271" s="8" t="s">
        <v>1338</v>
      </c>
      <c r="G271" s="8"/>
      <c r="H271" s="600">
        <v>1000000</v>
      </c>
      <c r="I271" s="49">
        <v>3</v>
      </c>
      <c r="J271" s="55">
        <v>0.2</v>
      </c>
      <c r="K271" s="49"/>
      <c r="L271" s="56"/>
      <c r="M271" s="61">
        <v>6</v>
      </c>
      <c r="N271" s="62">
        <v>8</v>
      </c>
      <c r="O271" s="62">
        <v>6</v>
      </c>
      <c r="P271" s="62">
        <v>4.0000000000000027</v>
      </c>
      <c r="Q271" s="62">
        <v>0</v>
      </c>
      <c r="R271" s="62">
        <v>8.0000000000000053</v>
      </c>
      <c r="S271" s="62">
        <v>8</v>
      </c>
      <c r="T271" s="63">
        <v>9.9999999999999982</v>
      </c>
      <c r="U271" s="66" t="e">
        <f ca="1">(L271-(YEAR(TODAY())-K271))/L271</f>
        <v>#DIV/0!</v>
      </c>
      <c r="V271" s="66">
        <f ca="1">IFERROR(U271,J271)</f>
        <v>0.2</v>
      </c>
      <c r="W271" s="70">
        <f>M271*Weight1/(WSum)</f>
        <v>0.94736842105263153</v>
      </c>
      <c r="X271" s="70">
        <f>N271*Weight2/(WSum)</f>
        <v>0.84210526315789469</v>
      </c>
      <c r="Y271" s="70">
        <f>O271*Weight3/(WSum)</f>
        <v>0.84210526315789469</v>
      </c>
      <c r="Z271" s="70">
        <f>P271*Weight4/(WSum)</f>
        <v>0.7017543859649128</v>
      </c>
      <c r="AA271" s="70">
        <f>Q271*Weight5/(WSum)</f>
        <v>0</v>
      </c>
      <c r="AB271" s="70">
        <f>R271*Weight6/(WSum)</f>
        <v>0.9824561403508778</v>
      </c>
      <c r="AC271" s="70">
        <f>S271*Weight7/(WSum)</f>
        <v>0.84210526315789469</v>
      </c>
      <c r="AD271" s="71">
        <f>T271*Weight8/(WSum)</f>
        <v>1.0526315789473681</v>
      </c>
      <c r="AE271" s="72">
        <f>-1/10*I271+1</f>
        <v>0.7</v>
      </c>
      <c r="AF271" s="72">
        <f ca="1">IF(V271&lt;0,0,-V271+1)</f>
        <v>0.8</v>
      </c>
      <c r="AG271" s="73">
        <f ca="1">(AE271*CondWeight+AF271*PLifeWeight)/(CondWeight+PLifeWeight)</f>
        <v>0.73333333333333339</v>
      </c>
      <c r="AH271" s="456">
        <f>SUM(W271:AD271)</f>
        <v>6.2105263157894743</v>
      </c>
      <c r="AI271" s="467">
        <f ca="1">AH271*AG271*10</f>
        <v>45.543859649122815</v>
      </c>
      <c r="AJ271" s="458" t="str">
        <f ca="1">IF(AG271&gt;$AG$2,IF(AH271&gt;$AH$2,"Q1","Q2"),IF(AH271&gt;$AH$2,"Q3","Q4"))</f>
        <v>Q3</v>
      </c>
      <c r="AK271" s="93" t="s">
        <v>414</v>
      </c>
      <c r="AL271" s="571"/>
      <c r="AM271" s="117"/>
      <c r="AN271" s="113"/>
      <c r="AO271" s="113">
        <v>1000000</v>
      </c>
      <c r="AP271" s="113"/>
      <c r="AQ271" s="121"/>
      <c r="AR271" s="436"/>
      <c r="AS271" s="437"/>
      <c r="AT271" s="437">
        <f>AO271*(1+Efactor)^2</f>
        <v>1071224.9999999998</v>
      </c>
      <c r="AU271" s="437"/>
      <c r="AV271" s="437"/>
      <c r="AW271" s="94"/>
    </row>
    <row r="272" spans="1:49" ht="36" customHeight="1">
      <c r="A272" s="5">
        <v>295</v>
      </c>
      <c r="B272" s="625">
        <v>91</v>
      </c>
      <c r="C272" s="14" t="s">
        <v>8</v>
      </c>
      <c r="D272" s="442" t="s">
        <v>7</v>
      </c>
      <c r="E272" s="7" t="s">
        <v>438</v>
      </c>
      <c r="F272" s="8" t="s">
        <v>1339</v>
      </c>
      <c r="G272" s="8"/>
      <c r="H272" s="600">
        <v>500000</v>
      </c>
      <c r="I272" s="49">
        <v>3</v>
      </c>
      <c r="J272" s="55">
        <v>0.2</v>
      </c>
      <c r="K272" s="49"/>
      <c r="L272" s="56"/>
      <c r="M272" s="61">
        <v>6</v>
      </c>
      <c r="N272" s="62">
        <v>8</v>
      </c>
      <c r="O272" s="62">
        <v>5</v>
      </c>
      <c r="P272" s="62">
        <v>2</v>
      </c>
      <c r="Q272" s="62">
        <v>0</v>
      </c>
      <c r="R272" s="62">
        <v>8.0000000000000053</v>
      </c>
      <c r="S272" s="62">
        <v>6</v>
      </c>
      <c r="T272" s="63">
        <v>9.9999999999999982</v>
      </c>
      <c r="U272" s="66" t="e">
        <f ca="1">(L272-(YEAR(TODAY())-K272))/L272</f>
        <v>#DIV/0!</v>
      </c>
      <c r="V272" s="66">
        <f ca="1">IFERROR(U272,J272)</f>
        <v>0.2</v>
      </c>
      <c r="W272" s="70">
        <f>M272*Weight1/(WSum)</f>
        <v>0.94736842105263153</v>
      </c>
      <c r="X272" s="70">
        <f>N272*Weight2/(WSum)</f>
        <v>0.84210526315789469</v>
      </c>
      <c r="Y272" s="70">
        <f>O272*Weight3/(WSum)</f>
        <v>0.70175438596491224</v>
      </c>
      <c r="Z272" s="70">
        <f>P272*Weight4/(WSum)</f>
        <v>0.35087719298245612</v>
      </c>
      <c r="AA272" s="70">
        <f>Q272*Weight5/(WSum)</f>
        <v>0</v>
      </c>
      <c r="AB272" s="70">
        <f>R272*Weight6/(WSum)</f>
        <v>0.9824561403508778</v>
      </c>
      <c r="AC272" s="70">
        <f>S272*Weight7/(WSum)</f>
        <v>0.63157894736842102</v>
      </c>
      <c r="AD272" s="71">
        <f>T272*Weight8/(WSum)</f>
        <v>1.0526315789473681</v>
      </c>
      <c r="AE272" s="72">
        <f>-1/10*I272+1</f>
        <v>0.7</v>
      </c>
      <c r="AF272" s="72">
        <f ca="1">IF(V272&lt;0,0,-V272+1)</f>
        <v>0.8</v>
      </c>
      <c r="AG272" s="73">
        <f ca="1">(AE272*CondWeight+AF272*PLifeWeight)/(CondWeight+PLifeWeight)</f>
        <v>0.73333333333333339</v>
      </c>
      <c r="AH272" s="456">
        <f>SUM(W272:AD272)</f>
        <v>5.5087719298245617</v>
      </c>
      <c r="AI272" s="467">
        <f ca="1">AH272*AG272*10</f>
        <v>40.397660818713454</v>
      </c>
      <c r="AJ272" s="458" t="str">
        <f ca="1">IF(AG272&gt;$AG$2,IF(AH272&gt;$AH$2,"Q1","Q2"),IF(AH272&gt;$AH$2,"Q3","Q4"))</f>
        <v>Q4</v>
      </c>
      <c r="AK272" s="93" t="s">
        <v>414</v>
      </c>
      <c r="AL272" s="571"/>
      <c r="AM272" s="117"/>
      <c r="AN272" s="113"/>
      <c r="AO272" s="113"/>
      <c r="AP272" s="113">
        <v>500000</v>
      </c>
      <c r="AQ272" s="121"/>
      <c r="AR272" s="436"/>
      <c r="AS272" s="437"/>
      <c r="AT272" s="437"/>
      <c r="AU272" s="437">
        <f>AP272*(1+Efactor)^3</f>
        <v>554358.93749999988</v>
      </c>
      <c r="AV272" s="437"/>
      <c r="AW272" s="94"/>
    </row>
    <row r="273" spans="1:49" ht="36" customHeight="1">
      <c r="A273" s="5"/>
      <c r="B273" s="743" t="s">
        <v>1566</v>
      </c>
      <c r="C273" s="744"/>
      <c r="D273" s="744"/>
      <c r="E273" s="744"/>
      <c r="F273" s="745"/>
      <c r="G273" s="8"/>
      <c r="H273" s="600"/>
      <c r="I273" s="49"/>
      <c r="J273" s="55"/>
      <c r="K273" s="49"/>
      <c r="L273" s="56"/>
      <c r="M273" s="61"/>
      <c r="N273" s="62"/>
      <c r="O273" s="62"/>
      <c r="P273" s="62"/>
      <c r="Q273" s="62"/>
      <c r="R273" s="62"/>
      <c r="S273" s="62"/>
      <c r="T273" s="63"/>
      <c r="U273" s="66"/>
      <c r="V273" s="66"/>
      <c r="W273" s="70"/>
      <c r="X273" s="70"/>
      <c r="Y273" s="70"/>
      <c r="Z273" s="70"/>
      <c r="AA273" s="70"/>
      <c r="AB273" s="70"/>
      <c r="AC273" s="70"/>
      <c r="AD273" s="71"/>
      <c r="AE273" s="72"/>
      <c r="AF273" s="72"/>
      <c r="AG273" s="73"/>
      <c r="AH273" s="456"/>
      <c r="AI273" s="467"/>
      <c r="AJ273" s="458"/>
      <c r="AK273" s="93"/>
      <c r="AL273" s="571"/>
      <c r="AM273" s="117"/>
      <c r="AN273" s="113"/>
      <c r="AO273" s="113"/>
      <c r="AP273" s="113"/>
      <c r="AQ273" s="121"/>
      <c r="AR273" s="436"/>
      <c r="AS273" s="437"/>
      <c r="AT273" s="437"/>
      <c r="AU273" s="437"/>
      <c r="AV273" s="437"/>
      <c r="AW273" s="94"/>
    </row>
    <row r="274" spans="1:49" ht="36" customHeight="1">
      <c r="A274" s="5">
        <v>347</v>
      </c>
      <c r="B274" s="625">
        <v>4</v>
      </c>
      <c r="C274" s="6" t="s">
        <v>17</v>
      </c>
      <c r="D274" s="371" t="s">
        <v>19</v>
      </c>
      <c r="E274" s="26" t="s">
        <v>1245</v>
      </c>
      <c r="F274" s="27" t="s">
        <v>1250</v>
      </c>
      <c r="G274" s="130" t="s">
        <v>30</v>
      </c>
      <c r="H274" s="603">
        <v>5643625</v>
      </c>
      <c r="I274" s="50">
        <v>3</v>
      </c>
      <c r="J274" s="55">
        <v>0.2</v>
      </c>
      <c r="K274" s="49"/>
      <c r="L274" s="56"/>
      <c r="M274" s="61">
        <v>8.0000000000000053</v>
      </c>
      <c r="N274" s="62">
        <v>8.0000000000000053</v>
      </c>
      <c r="O274" s="62">
        <v>8.0000000000000053</v>
      </c>
      <c r="P274" s="62">
        <v>8.0000000000000053</v>
      </c>
      <c r="Q274" s="62">
        <v>6.0000000000000036</v>
      </c>
      <c r="R274" s="62">
        <v>8.0000000000000053</v>
      </c>
      <c r="S274" s="62">
        <v>0</v>
      </c>
      <c r="T274" s="63">
        <v>9</v>
      </c>
      <c r="U274" s="66" t="e">
        <f t="shared" ref="U274:U315" ca="1" si="149">(L274-(YEAR(TODAY())-K274))/L274</f>
        <v>#DIV/0!</v>
      </c>
      <c r="V274" s="66">
        <f t="shared" ref="V274:V315" ca="1" si="150">IFERROR(U274,J274)</f>
        <v>0.2</v>
      </c>
      <c r="W274" s="70">
        <f t="shared" ref="W274:W315" si="151">M274*Weight1/(WSum)</f>
        <v>1.2631578947368429</v>
      </c>
      <c r="X274" s="70">
        <f t="shared" ref="X274:X315" si="152">N274*Weight2/(WSum)</f>
        <v>0.84210526315789525</v>
      </c>
      <c r="Y274" s="70">
        <f t="shared" ref="Y274:Y315" si="153">O274*Weight3/(WSum)</f>
        <v>1.1228070175438605</v>
      </c>
      <c r="Z274" s="70">
        <f t="shared" ref="Z274:Z315" si="154">P274*Weight4/(WSum)</f>
        <v>1.4035087719298256</v>
      </c>
      <c r="AA274" s="70">
        <f t="shared" ref="AA274:AA315" si="155">Q274*Weight5/(WSum)</f>
        <v>0.52631578947368451</v>
      </c>
      <c r="AB274" s="70">
        <f t="shared" ref="AB274:AB315" si="156">R274*Weight6/(WSum)</f>
        <v>0.9824561403508778</v>
      </c>
      <c r="AC274" s="70">
        <f t="shared" ref="AC274:AC315" si="157">S274*Weight7/(WSum)</f>
        <v>0</v>
      </c>
      <c r="AD274" s="71">
        <f t="shared" ref="AD274:AD315" si="158">T274*Weight8/(WSum)</f>
        <v>0.94736842105263153</v>
      </c>
      <c r="AE274" s="72">
        <f t="shared" ref="AE274:AE315" si="159">-1/10*I274+1</f>
        <v>0.7</v>
      </c>
      <c r="AF274" s="72">
        <f t="shared" ref="AF274:AF315" ca="1" si="160">IF(V274&lt;0,0,-V274+1)</f>
        <v>0.8</v>
      </c>
      <c r="AG274" s="73">
        <f t="shared" ref="AG274:AG315" ca="1" si="161">(AE274*CondWeight+AF274*PLifeWeight)/(CondWeight+PLifeWeight)</f>
        <v>0.73333333333333339</v>
      </c>
      <c r="AH274" s="456">
        <f t="shared" ref="AH274:AH315" si="162">SUM(W274:AD274)</f>
        <v>7.0877192982456174</v>
      </c>
      <c r="AI274" s="467">
        <f t="shared" ref="AI274:AI315" ca="1" si="163">AH274*AG274*10</f>
        <v>51.976608187134531</v>
      </c>
      <c r="AJ274" s="458" t="str">
        <f t="shared" ref="AJ274:AJ315" ca="1" si="164">IF(AG274&gt;$AG$2,IF(AH274&gt;$AH$2,"Q1","Q2"),IF(AH274&gt;$AH$2,"Q3","Q4"))</f>
        <v>Q3</v>
      </c>
      <c r="AK274" s="95" t="s">
        <v>374</v>
      </c>
      <c r="AL274" s="662">
        <v>902000</v>
      </c>
      <c r="AM274" s="120">
        <v>4741625</v>
      </c>
      <c r="AN274" s="113"/>
      <c r="AO274" s="113"/>
      <c r="AP274" s="113"/>
      <c r="AQ274" s="121"/>
      <c r="AR274" s="436">
        <f>AM274</f>
        <v>4741625</v>
      </c>
      <c r="AS274" s="437"/>
      <c r="AT274" s="437"/>
      <c r="AU274" s="437"/>
      <c r="AV274" s="437"/>
      <c r="AW274" s="94"/>
    </row>
    <row r="275" spans="1:49" s="228" customFormat="1" ht="36" customHeight="1">
      <c r="A275" s="5">
        <v>306</v>
      </c>
      <c r="B275" s="625">
        <v>5</v>
      </c>
      <c r="C275" s="6" t="s">
        <v>14</v>
      </c>
      <c r="D275" s="371" t="s">
        <v>15</v>
      </c>
      <c r="E275" s="26" t="s">
        <v>1121</v>
      </c>
      <c r="F275" s="27" t="s">
        <v>1263</v>
      </c>
      <c r="G275" s="129" t="s">
        <v>36</v>
      </c>
      <c r="H275" s="603">
        <v>2700000</v>
      </c>
      <c r="I275" s="50">
        <v>1</v>
      </c>
      <c r="J275" s="55">
        <v>0.4</v>
      </c>
      <c r="K275" s="49"/>
      <c r="L275" s="56"/>
      <c r="M275" s="61">
        <v>6.0000000000000036</v>
      </c>
      <c r="N275" s="62">
        <v>6.0000000000000036</v>
      </c>
      <c r="O275" s="62">
        <v>8.0000000000000053</v>
      </c>
      <c r="P275" s="62">
        <v>8.0000000000000053</v>
      </c>
      <c r="Q275" s="62">
        <v>8.0000000000000053</v>
      </c>
      <c r="R275" s="62">
        <v>6.0000000000000036</v>
      </c>
      <c r="S275" s="62">
        <v>0</v>
      </c>
      <c r="T275" s="63">
        <v>8</v>
      </c>
      <c r="U275" s="66" t="e">
        <f t="shared" ca="1" si="149"/>
        <v>#DIV/0!</v>
      </c>
      <c r="V275" s="66">
        <f t="shared" ca="1" si="150"/>
        <v>0.4</v>
      </c>
      <c r="W275" s="70">
        <f t="shared" si="151"/>
        <v>0.94736842105263208</v>
      </c>
      <c r="X275" s="70">
        <f t="shared" si="152"/>
        <v>0.63157894736842146</v>
      </c>
      <c r="Y275" s="70">
        <f t="shared" si="153"/>
        <v>1.1228070175438605</v>
      </c>
      <c r="Z275" s="70">
        <f t="shared" si="154"/>
        <v>1.4035087719298256</v>
      </c>
      <c r="AA275" s="70">
        <f t="shared" si="155"/>
        <v>0.7017543859649128</v>
      </c>
      <c r="AB275" s="70">
        <f t="shared" si="156"/>
        <v>0.73684210526315841</v>
      </c>
      <c r="AC275" s="70">
        <f t="shared" si="157"/>
        <v>0</v>
      </c>
      <c r="AD275" s="71">
        <f t="shared" si="158"/>
        <v>0.84210526315789469</v>
      </c>
      <c r="AE275" s="72">
        <f t="shared" si="159"/>
        <v>0.9</v>
      </c>
      <c r="AF275" s="72">
        <f t="shared" ca="1" si="160"/>
        <v>0.6</v>
      </c>
      <c r="AG275" s="73">
        <f t="shared" ca="1" si="161"/>
        <v>0.79999999999999993</v>
      </c>
      <c r="AH275" s="456">
        <f t="shared" si="162"/>
        <v>6.3859649122807056</v>
      </c>
      <c r="AI275" s="467">
        <f t="shared" ca="1" si="163"/>
        <v>51.087719298245638</v>
      </c>
      <c r="AJ275" s="458" t="str">
        <f t="shared" ca="1" si="164"/>
        <v>Q1</v>
      </c>
      <c r="AK275" s="95" t="s">
        <v>374</v>
      </c>
      <c r="AL275" s="572"/>
      <c r="AM275" s="117">
        <v>3851000</v>
      </c>
      <c r="AN275" s="113"/>
      <c r="AO275" s="113"/>
      <c r="AP275" s="113"/>
      <c r="AQ275" s="121"/>
      <c r="AR275" s="436">
        <v>2700000</v>
      </c>
      <c r="AS275" s="437"/>
      <c r="AT275" s="437"/>
      <c r="AU275" s="437"/>
      <c r="AV275" s="437"/>
      <c r="AW275" s="94"/>
    </row>
    <row r="276" spans="1:49" ht="36" customHeight="1">
      <c r="A276" s="1">
        <v>151</v>
      </c>
      <c r="B276" s="625">
        <v>13</v>
      </c>
      <c r="C276" s="2" t="s">
        <v>14</v>
      </c>
      <c r="D276" s="370" t="s">
        <v>15</v>
      </c>
      <c r="E276" s="441" t="s">
        <v>1122</v>
      </c>
      <c r="F276" s="676" t="s">
        <v>1278</v>
      </c>
      <c r="G276" s="487" t="s">
        <v>16</v>
      </c>
      <c r="H276" s="681">
        <v>1300000</v>
      </c>
      <c r="I276" s="380">
        <v>3</v>
      </c>
      <c r="J276" s="377">
        <v>0.1</v>
      </c>
      <c r="K276" s="376"/>
      <c r="L276" s="378"/>
      <c r="M276" s="61">
        <v>6</v>
      </c>
      <c r="N276" s="62">
        <v>6</v>
      </c>
      <c r="O276" s="62">
        <v>7</v>
      </c>
      <c r="P276" s="62">
        <v>8</v>
      </c>
      <c r="Q276" s="62">
        <v>5</v>
      </c>
      <c r="R276" s="62">
        <v>8</v>
      </c>
      <c r="S276" s="62">
        <v>0</v>
      </c>
      <c r="T276" s="63">
        <v>10</v>
      </c>
      <c r="U276" s="379" t="e">
        <f t="shared" ca="1" si="149"/>
        <v>#DIV/0!</v>
      </c>
      <c r="V276" s="379">
        <f t="shared" ca="1" si="150"/>
        <v>0.1</v>
      </c>
      <c r="W276" s="70">
        <f t="shared" si="151"/>
        <v>0.94736842105263153</v>
      </c>
      <c r="X276" s="70">
        <f t="shared" si="152"/>
        <v>0.63157894736842102</v>
      </c>
      <c r="Y276" s="70">
        <f t="shared" si="153"/>
        <v>0.98245614035087714</v>
      </c>
      <c r="Z276" s="70">
        <f t="shared" si="154"/>
        <v>1.4035087719298245</v>
      </c>
      <c r="AA276" s="70">
        <f t="shared" si="155"/>
        <v>0.43859649122807015</v>
      </c>
      <c r="AB276" s="70">
        <f t="shared" si="156"/>
        <v>0.98245614035087714</v>
      </c>
      <c r="AC276" s="70">
        <f t="shared" si="157"/>
        <v>0</v>
      </c>
      <c r="AD276" s="71">
        <f t="shared" si="158"/>
        <v>1.0526315789473684</v>
      </c>
      <c r="AE276" s="72">
        <f t="shared" si="159"/>
        <v>0.7</v>
      </c>
      <c r="AF276" s="72">
        <f t="shared" ca="1" si="160"/>
        <v>0.9</v>
      </c>
      <c r="AG276" s="73">
        <f t="shared" ca="1" si="161"/>
        <v>0.76666666666666661</v>
      </c>
      <c r="AH276" s="455">
        <f t="shared" si="162"/>
        <v>6.4385964912280702</v>
      </c>
      <c r="AI276" s="466">
        <f t="shared" ca="1" si="163"/>
        <v>49.362573099415201</v>
      </c>
      <c r="AJ276" s="458" t="str">
        <f t="shared" ca="1" si="164"/>
        <v>Q1</v>
      </c>
      <c r="AK276" s="373" t="s">
        <v>374</v>
      </c>
      <c r="AL276" s="572"/>
      <c r="AM276" s="117">
        <v>164000</v>
      </c>
      <c r="AN276" s="113"/>
      <c r="AO276" s="113"/>
      <c r="AP276" s="593"/>
      <c r="AQ276" s="121"/>
      <c r="AR276" s="436">
        <v>1300000</v>
      </c>
      <c r="AS276" s="437"/>
      <c r="AT276" s="437"/>
      <c r="AU276" s="437"/>
      <c r="AV276" s="437"/>
      <c r="AW276" s="92"/>
    </row>
    <row r="277" spans="1:49" ht="36" customHeight="1">
      <c r="A277" s="5">
        <v>204</v>
      </c>
      <c r="B277" s="625">
        <v>17</v>
      </c>
      <c r="C277" s="6" t="s">
        <v>17</v>
      </c>
      <c r="D277" s="371" t="s">
        <v>19</v>
      </c>
      <c r="E277" s="114" t="s">
        <v>1443</v>
      </c>
      <c r="F277" s="24" t="s">
        <v>1447</v>
      </c>
      <c r="G277" s="20"/>
      <c r="H277" s="603">
        <v>100000</v>
      </c>
      <c r="I277" s="50">
        <v>3</v>
      </c>
      <c r="J277" s="55">
        <v>0.1</v>
      </c>
      <c r="K277" s="49"/>
      <c r="L277" s="56"/>
      <c r="M277" s="61">
        <v>6.0000000000000036</v>
      </c>
      <c r="N277" s="62">
        <v>8.0000000000000053</v>
      </c>
      <c r="O277" s="62">
        <v>6.0000000000000036</v>
      </c>
      <c r="P277" s="62">
        <v>8.0000000000000053</v>
      </c>
      <c r="Q277" s="62">
        <v>4.0000000000000027</v>
      </c>
      <c r="R277" s="62">
        <v>6.0000000000000036</v>
      </c>
      <c r="S277" s="62">
        <v>2</v>
      </c>
      <c r="T277" s="63">
        <v>10</v>
      </c>
      <c r="U277" s="66" t="e">
        <f t="shared" ca="1" si="149"/>
        <v>#DIV/0!</v>
      </c>
      <c r="V277" s="66">
        <f t="shared" ca="1" si="150"/>
        <v>0.1</v>
      </c>
      <c r="W277" s="70">
        <f t="shared" si="151"/>
        <v>0.94736842105263208</v>
      </c>
      <c r="X277" s="70">
        <f t="shared" si="152"/>
        <v>0.84210526315789525</v>
      </c>
      <c r="Y277" s="70">
        <f t="shared" si="153"/>
        <v>0.84210526315789525</v>
      </c>
      <c r="Z277" s="70">
        <f t="shared" si="154"/>
        <v>1.4035087719298256</v>
      </c>
      <c r="AA277" s="70">
        <f t="shared" si="155"/>
        <v>0.3508771929824564</v>
      </c>
      <c r="AB277" s="70">
        <f t="shared" si="156"/>
        <v>0.73684210526315841</v>
      </c>
      <c r="AC277" s="70">
        <f t="shared" si="157"/>
        <v>0.21052631578947367</v>
      </c>
      <c r="AD277" s="71">
        <f t="shared" si="158"/>
        <v>1.0526315789473684</v>
      </c>
      <c r="AE277" s="72">
        <f t="shared" si="159"/>
        <v>0.7</v>
      </c>
      <c r="AF277" s="72">
        <f t="shared" ca="1" si="160"/>
        <v>0.9</v>
      </c>
      <c r="AG277" s="73">
        <f t="shared" ca="1" si="161"/>
        <v>0.76666666666666661</v>
      </c>
      <c r="AH277" s="456">
        <f t="shared" si="162"/>
        <v>6.3859649122807047</v>
      </c>
      <c r="AI277" s="467">
        <f t="shared" ca="1" si="163"/>
        <v>48.9590643274854</v>
      </c>
      <c r="AJ277" s="458" t="str">
        <f t="shared" ca="1" si="164"/>
        <v>Q1</v>
      </c>
      <c r="AK277" s="95" t="s">
        <v>374</v>
      </c>
      <c r="AL277" s="111"/>
      <c r="AM277" s="117">
        <v>100000</v>
      </c>
      <c r="AN277" s="113"/>
      <c r="AO277" s="113"/>
      <c r="AP277" s="113"/>
      <c r="AQ277" s="121"/>
      <c r="AR277" s="436">
        <f t="shared" ref="AR277:AR282" si="165">AM277</f>
        <v>100000</v>
      </c>
      <c r="AS277" s="437"/>
      <c r="AT277" s="437"/>
      <c r="AU277" s="437"/>
      <c r="AV277" s="437"/>
      <c r="AW277" s="94"/>
    </row>
    <row r="278" spans="1:49" ht="36" customHeight="1">
      <c r="A278" s="5">
        <v>218</v>
      </c>
      <c r="B278" s="625">
        <v>25</v>
      </c>
      <c r="C278" s="6" t="s">
        <v>14</v>
      </c>
      <c r="D278" s="371" t="s">
        <v>418</v>
      </c>
      <c r="E278" s="10" t="s">
        <v>1433</v>
      </c>
      <c r="F278" s="23" t="s">
        <v>1436</v>
      </c>
      <c r="G278" s="17" t="s">
        <v>24</v>
      </c>
      <c r="H278" s="603">
        <v>130000</v>
      </c>
      <c r="I278" s="50">
        <v>1</v>
      </c>
      <c r="J278" s="55">
        <v>0</v>
      </c>
      <c r="K278" s="49"/>
      <c r="L278" s="56"/>
      <c r="M278" s="61">
        <v>6.0000000000000036</v>
      </c>
      <c r="N278" s="62">
        <v>6</v>
      </c>
      <c r="O278" s="62">
        <v>5</v>
      </c>
      <c r="P278" s="62">
        <v>7</v>
      </c>
      <c r="Q278" s="62">
        <v>4.0000000000000027</v>
      </c>
      <c r="R278" s="62">
        <v>5</v>
      </c>
      <c r="S278" s="62">
        <v>1</v>
      </c>
      <c r="T278" s="63">
        <v>6.0000000000000036</v>
      </c>
      <c r="U278" s="66" t="e">
        <f t="shared" ca="1" si="149"/>
        <v>#DIV/0!</v>
      </c>
      <c r="V278" s="66">
        <f t="shared" ca="1" si="150"/>
        <v>0</v>
      </c>
      <c r="W278" s="70">
        <f t="shared" si="151"/>
        <v>0.94736842105263208</v>
      </c>
      <c r="X278" s="70">
        <f t="shared" si="152"/>
        <v>0.63157894736842102</v>
      </c>
      <c r="Y278" s="70">
        <f t="shared" si="153"/>
        <v>0.70175438596491224</v>
      </c>
      <c r="Z278" s="70">
        <f t="shared" si="154"/>
        <v>1.2280701754385965</v>
      </c>
      <c r="AA278" s="70">
        <f t="shared" si="155"/>
        <v>0.3508771929824564</v>
      </c>
      <c r="AB278" s="70">
        <f t="shared" si="156"/>
        <v>0.61403508771929827</v>
      </c>
      <c r="AC278" s="70">
        <f t="shared" si="157"/>
        <v>0.10526315789473684</v>
      </c>
      <c r="AD278" s="71">
        <f t="shared" si="158"/>
        <v>0.63157894736842146</v>
      </c>
      <c r="AE278" s="72">
        <f t="shared" si="159"/>
        <v>0.9</v>
      </c>
      <c r="AF278" s="72">
        <f t="shared" ca="1" si="160"/>
        <v>1</v>
      </c>
      <c r="AG278" s="73">
        <f t="shared" ca="1" si="161"/>
        <v>0.93333333333333324</v>
      </c>
      <c r="AH278" s="456">
        <f t="shared" si="162"/>
        <v>5.2105263157894743</v>
      </c>
      <c r="AI278" s="467">
        <f t="shared" ca="1" si="163"/>
        <v>48.631578947368425</v>
      </c>
      <c r="AJ278" s="458" t="str">
        <f t="shared" ca="1" si="164"/>
        <v>Q2</v>
      </c>
      <c r="AK278" s="95" t="s">
        <v>374</v>
      </c>
      <c r="AL278" s="572"/>
      <c r="AM278" s="492">
        <v>130000</v>
      </c>
      <c r="AN278" s="113"/>
      <c r="AO278" s="113"/>
      <c r="AP278" s="113"/>
      <c r="AQ278" s="121"/>
      <c r="AR278" s="436">
        <f t="shared" si="165"/>
        <v>130000</v>
      </c>
      <c r="AS278" s="437"/>
      <c r="AT278" s="437"/>
      <c r="AU278" s="437"/>
      <c r="AV278" s="437"/>
      <c r="AW278" s="94"/>
    </row>
    <row r="279" spans="1:49" ht="36" customHeight="1">
      <c r="A279" s="5">
        <v>162</v>
      </c>
      <c r="B279" s="625">
        <v>26</v>
      </c>
      <c r="C279" s="6" t="s">
        <v>17</v>
      </c>
      <c r="D279" s="371" t="s">
        <v>19</v>
      </c>
      <c r="E279" s="114" t="s">
        <v>1444</v>
      </c>
      <c r="F279" s="24" t="s">
        <v>1448</v>
      </c>
      <c r="G279" s="494" t="s">
        <v>1103</v>
      </c>
      <c r="H279" s="603">
        <v>100000</v>
      </c>
      <c r="I279" s="50">
        <v>2</v>
      </c>
      <c r="J279" s="55">
        <v>0.2</v>
      </c>
      <c r="K279" s="49"/>
      <c r="L279" s="56"/>
      <c r="M279" s="61">
        <v>6.0000000000000036</v>
      </c>
      <c r="N279" s="62">
        <v>8.0000000000000053</v>
      </c>
      <c r="O279" s="62">
        <v>6.0000000000000036</v>
      </c>
      <c r="P279" s="62">
        <v>8.0000000000000053</v>
      </c>
      <c r="Q279" s="62">
        <v>4.0000000000000027</v>
      </c>
      <c r="R279" s="62">
        <v>6.0000000000000036</v>
      </c>
      <c r="S279" s="62">
        <v>1</v>
      </c>
      <c r="T279" s="63">
        <v>8</v>
      </c>
      <c r="U279" s="66" t="e">
        <f t="shared" ca="1" si="149"/>
        <v>#DIV/0!</v>
      </c>
      <c r="V279" s="66">
        <f t="shared" ca="1" si="150"/>
        <v>0.2</v>
      </c>
      <c r="W279" s="70">
        <f t="shared" si="151"/>
        <v>0.94736842105263208</v>
      </c>
      <c r="X279" s="70">
        <f t="shared" si="152"/>
        <v>0.84210526315789525</v>
      </c>
      <c r="Y279" s="70">
        <f t="shared" si="153"/>
        <v>0.84210526315789525</v>
      </c>
      <c r="Z279" s="70">
        <f t="shared" si="154"/>
        <v>1.4035087719298256</v>
      </c>
      <c r="AA279" s="70">
        <f t="shared" si="155"/>
        <v>0.3508771929824564</v>
      </c>
      <c r="AB279" s="70">
        <f t="shared" si="156"/>
        <v>0.73684210526315841</v>
      </c>
      <c r="AC279" s="70">
        <f t="shared" si="157"/>
        <v>0.10526315789473684</v>
      </c>
      <c r="AD279" s="71">
        <f t="shared" si="158"/>
        <v>0.84210526315789469</v>
      </c>
      <c r="AE279" s="72">
        <f t="shared" si="159"/>
        <v>0.8</v>
      </c>
      <c r="AF279" s="72">
        <f t="shared" ca="1" si="160"/>
        <v>0.8</v>
      </c>
      <c r="AG279" s="73">
        <f t="shared" ca="1" si="161"/>
        <v>0.80000000000000016</v>
      </c>
      <c r="AH279" s="456">
        <f t="shared" si="162"/>
        <v>6.070175438596495</v>
      </c>
      <c r="AI279" s="467">
        <f t="shared" ca="1" si="163"/>
        <v>48.561403508771967</v>
      </c>
      <c r="AJ279" s="458" t="str">
        <f t="shared" ca="1" si="164"/>
        <v>Q1</v>
      </c>
      <c r="AK279" s="95" t="s">
        <v>374</v>
      </c>
      <c r="AL279" s="111"/>
      <c r="AM279" s="117">
        <v>100000</v>
      </c>
      <c r="AN279" s="113"/>
      <c r="AO279" s="113"/>
      <c r="AP279" s="113"/>
      <c r="AQ279" s="121"/>
      <c r="AR279" s="436">
        <f t="shared" si="165"/>
        <v>100000</v>
      </c>
      <c r="AS279" s="437"/>
      <c r="AT279" s="437"/>
      <c r="AU279" s="437"/>
      <c r="AV279" s="437"/>
      <c r="AW279" s="94"/>
    </row>
    <row r="280" spans="1:49" ht="36" customHeight="1">
      <c r="A280" s="5">
        <v>265</v>
      </c>
      <c r="B280" s="625">
        <v>27</v>
      </c>
      <c r="C280" s="6" t="s">
        <v>17</v>
      </c>
      <c r="D280" s="371" t="s">
        <v>418</v>
      </c>
      <c r="E280" s="10" t="s">
        <v>1259</v>
      </c>
      <c r="F280" s="11" t="s">
        <v>1425</v>
      </c>
      <c r="G280" s="131" t="s">
        <v>43</v>
      </c>
      <c r="H280" s="603">
        <v>120000</v>
      </c>
      <c r="I280" s="50">
        <v>3</v>
      </c>
      <c r="J280" s="55">
        <v>0</v>
      </c>
      <c r="K280" s="49"/>
      <c r="L280" s="56"/>
      <c r="M280" s="61">
        <v>6.0000000000000036</v>
      </c>
      <c r="N280" s="62">
        <v>8.0000000000000053</v>
      </c>
      <c r="O280" s="62">
        <v>6.0000000000000036</v>
      </c>
      <c r="P280" s="62">
        <v>8.0000000000000053</v>
      </c>
      <c r="Q280" s="62">
        <v>4.0000000000000027</v>
      </c>
      <c r="R280" s="62">
        <v>6.0000000000000036</v>
      </c>
      <c r="S280" s="62">
        <v>1</v>
      </c>
      <c r="T280" s="63">
        <v>8</v>
      </c>
      <c r="U280" s="66" t="e">
        <f t="shared" ca="1" si="149"/>
        <v>#DIV/0!</v>
      </c>
      <c r="V280" s="66">
        <f t="shared" ca="1" si="150"/>
        <v>0</v>
      </c>
      <c r="W280" s="70">
        <f t="shared" si="151"/>
        <v>0.94736842105263208</v>
      </c>
      <c r="X280" s="70">
        <f t="shared" si="152"/>
        <v>0.84210526315789525</v>
      </c>
      <c r="Y280" s="70">
        <f t="shared" si="153"/>
        <v>0.84210526315789525</v>
      </c>
      <c r="Z280" s="70">
        <f t="shared" si="154"/>
        <v>1.4035087719298256</v>
      </c>
      <c r="AA280" s="70">
        <f t="shared" si="155"/>
        <v>0.3508771929824564</v>
      </c>
      <c r="AB280" s="70">
        <f t="shared" si="156"/>
        <v>0.73684210526315841</v>
      </c>
      <c r="AC280" s="70">
        <f t="shared" si="157"/>
        <v>0.10526315789473684</v>
      </c>
      <c r="AD280" s="71">
        <f t="shared" si="158"/>
        <v>0.84210526315789469</v>
      </c>
      <c r="AE280" s="72">
        <f t="shared" si="159"/>
        <v>0.7</v>
      </c>
      <c r="AF280" s="72">
        <f t="shared" ca="1" si="160"/>
        <v>1</v>
      </c>
      <c r="AG280" s="73">
        <f t="shared" ca="1" si="161"/>
        <v>0.79999999999999993</v>
      </c>
      <c r="AH280" s="456">
        <f t="shared" si="162"/>
        <v>6.070175438596495</v>
      </c>
      <c r="AI280" s="467">
        <f t="shared" ca="1" si="163"/>
        <v>48.56140350877196</v>
      </c>
      <c r="AJ280" s="458" t="str">
        <f t="shared" ca="1" si="164"/>
        <v>Q1</v>
      </c>
      <c r="AK280" s="95" t="s">
        <v>374</v>
      </c>
      <c r="AL280" s="573"/>
      <c r="AM280" s="117">
        <v>120000</v>
      </c>
      <c r="AN280" s="113"/>
      <c r="AO280" s="113"/>
      <c r="AP280" s="113"/>
      <c r="AQ280" s="121"/>
      <c r="AR280" s="436">
        <f t="shared" si="165"/>
        <v>120000</v>
      </c>
      <c r="AS280" s="437"/>
      <c r="AT280" s="437"/>
      <c r="AU280" s="437"/>
      <c r="AV280" s="437"/>
      <c r="AW280" s="94"/>
    </row>
    <row r="281" spans="1:49" ht="36" customHeight="1">
      <c r="A281" s="5">
        <v>343</v>
      </c>
      <c r="B281" s="625">
        <v>28</v>
      </c>
      <c r="C281" s="396" t="s">
        <v>17</v>
      </c>
      <c r="D281" s="372" t="s">
        <v>418</v>
      </c>
      <c r="E281" s="10" t="s">
        <v>1432</v>
      </c>
      <c r="F281" s="11" t="s">
        <v>1426</v>
      </c>
      <c r="G281" s="131" t="s">
        <v>1099</v>
      </c>
      <c r="H281" s="604">
        <v>200000</v>
      </c>
      <c r="I281" s="50">
        <v>3</v>
      </c>
      <c r="J281" s="55">
        <v>0</v>
      </c>
      <c r="K281" s="49"/>
      <c r="L281" s="56"/>
      <c r="M281" s="61">
        <v>6.0000000000000036</v>
      </c>
      <c r="N281" s="62">
        <v>8.0000000000000053</v>
      </c>
      <c r="O281" s="62">
        <v>6.0000000000000036</v>
      </c>
      <c r="P281" s="62">
        <v>8.0000000000000053</v>
      </c>
      <c r="Q281" s="62">
        <v>4.0000000000000027</v>
      </c>
      <c r="R281" s="62">
        <v>6.0000000000000036</v>
      </c>
      <c r="S281" s="62">
        <v>1</v>
      </c>
      <c r="T281" s="63">
        <v>8</v>
      </c>
      <c r="U281" s="66" t="e">
        <f t="shared" ca="1" si="149"/>
        <v>#DIV/0!</v>
      </c>
      <c r="V281" s="66">
        <f t="shared" ca="1" si="150"/>
        <v>0</v>
      </c>
      <c r="W281" s="70">
        <f t="shared" si="151"/>
        <v>0.94736842105263208</v>
      </c>
      <c r="X281" s="70">
        <f t="shared" si="152"/>
        <v>0.84210526315789525</v>
      </c>
      <c r="Y281" s="70">
        <f t="shared" si="153"/>
        <v>0.84210526315789525</v>
      </c>
      <c r="Z281" s="70">
        <f t="shared" si="154"/>
        <v>1.4035087719298256</v>
      </c>
      <c r="AA281" s="70">
        <f t="shared" si="155"/>
        <v>0.3508771929824564</v>
      </c>
      <c r="AB281" s="70">
        <f t="shared" si="156"/>
        <v>0.73684210526315841</v>
      </c>
      <c r="AC281" s="70">
        <f t="shared" si="157"/>
        <v>0.10526315789473684</v>
      </c>
      <c r="AD281" s="71">
        <f t="shared" si="158"/>
        <v>0.84210526315789469</v>
      </c>
      <c r="AE281" s="72">
        <f t="shared" si="159"/>
        <v>0.7</v>
      </c>
      <c r="AF281" s="72">
        <f t="shared" ca="1" si="160"/>
        <v>1</v>
      </c>
      <c r="AG281" s="73">
        <f t="shared" ca="1" si="161"/>
        <v>0.79999999999999993</v>
      </c>
      <c r="AH281" s="456">
        <f t="shared" si="162"/>
        <v>6.070175438596495</v>
      </c>
      <c r="AI281" s="467">
        <f t="shared" ca="1" si="163"/>
        <v>48.56140350877196</v>
      </c>
      <c r="AJ281" s="458" t="str">
        <f t="shared" ca="1" si="164"/>
        <v>Q1</v>
      </c>
      <c r="AK281" s="95" t="s">
        <v>374</v>
      </c>
      <c r="AL281" s="571"/>
      <c r="AM281" s="117">
        <v>200000</v>
      </c>
      <c r="AN281" s="113"/>
      <c r="AO281" s="113"/>
      <c r="AP281" s="113"/>
      <c r="AQ281" s="121"/>
      <c r="AR281" s="436">
        <f t="shared" si="165"/>
        <v>200000</v>
      </c>
      <c r="AS281" s="437"/>
      <c r="AT281" s="437"/>
      <c r="AU281" s="437"/>
      <c r="AV281" s="437"/>
      <c r="AW281" s="94"/>
    </row>
    <row r="282" spans="1:49" ht="36" customHeight="1">
      <c r="A282" s="5">
        <v>252</v>
      </c>
      <c r="B282" s="625">
        <v>31</v>
      </c>
      <c r="C282" s="6" t="s">
        <v>17</v>
      </c>
      <c r="D282" s="371" t="s">
        <v>19</v>
      </c>
      <c r="E282" s="26" t="s">
        <v>1246</v>
      </c>
      <c r="F282" s="27" t="s">
        <v>1251</v>
      </c>
      <c r="G282" s="127"/>
      <c r="H282" s="600">
        <v>3861585</v>
      </c>
      <c r="I282" s="50">
        <v>3</v>
      </c>
      <c r="J282" s="55">
        <v>0.3</v>
      </c>
      <c r="K282" s="49"/>
      <c r="L282" s="56"/>
      <c r="M282" s="61">
        <v>8</v>
      </c>
      <c r="N282" s="62">
        <v>8</v>
      </c>
      <c r="O282" s="62">
        <v>8</v>
      </c>
      <c r="P282" s="62">
        <v>8</v>
      </c>
      <c r="Q282" s="62">
        <v>4</v>
      </c>
      <c r="R282" s="62">
        <v>8</v>
      </c>
      <c r="S282" s="62">
        <v>0</v>
      </c>
      <c r="T282" s="63">
        <v>9</v>
      </c>
      <c r="U282" s="66" t="e">
        <f t="shared" ca="1" si="149"/>
        <v>#DIV/0!</v>
      </c>
      <c r="V282" s="66">
        <f t="shared" ca="1" si="150"/>
        <v>0.3</v>
      </c>
      <c r="W282" s="70">
        <f t="shared" si="151"/>
        <v>1.263157894736842</v>
      </c>
      <c r="X282" s="70">
        <f t="shared" si="152"/>
        <v>0.84210526315789469</v>
      </c>
      <c r="Y282" s="70">
        <f t="shared" si="153"/>
        <v>1.1228070175438596</v>
      </c>
      <c r="Z282" s="70">
        <f t="shared" si="154"/>
        <v>1.4035087719298245</v>
      </c>
      <c r="AA282" s="70">
        <f t="shared" si="155"/>
        <v>0.35087719298245612</v>
      </c>
      <c r="AB282" s="70">
        <f t="shared" si="156"/>
        <v>0.98245614035087714</v>
      </c>
      <c r="AC282" s="70">
        <f t="shared" si="157"/>
        <v>0</v>
      </c>
      <c r="AD282" s="71">
        <f t="shared" si="158"/>
        <v>0.94736842105263153</v>
      </c>
      <c r="AE282" s="72">
        <f t="shared" si="159"/>
        <v>0.7</v>
      </c>
      <c r="AF282" s="72">
        <f t="shared" ca="1" si="160"/>
        <v>0.7</v>
      </c>
      <c r="AG282" s="73">
        <f t="shared" ca="1" si="161"/>
        <v>0.69999999999999984</v>
      </c>
      <c r="AH282" s="456">
        <f t="shared" si="162"/>
        <v>6.912280701754387</v>
      </c>
      <c r="AI282" s="467">
        <f t="shared" ca="1" si="163"/>
        <v>48.385964912280699</v>
      </c>
      <c r="AJ282" s="458" t="str">
        <f t="shared" ca="1" si="164"/>
        <v>Q3</v>
      </c>
      <c r="AK282" s="95" t="s">
        <v>374</v>
      </c>
      <c r="AL282" s="572"/>
      <c r="AM282" s="117">
        <v>523710</v>
      </c>
      <c r="AN282" s="113">
        <v>3337875</v>
      </c>
      <c r="AO282" s="113"/>
      <c r="AP282" s="113"/>
      <c r="AQ282" s="121"/>
      <c r="AR282" s="436">
        <f t="shared" si="165"/>
        <v>523710</v>
      </c>
      <c r="AS282" s="437">
        <f>AN282*(1+Efactor)</f>
        <v>3454700.6249999995</v>
      </c>
      <c r="AT282" s="437"/>
      <c r="AU282" s="437"/>
      <c r="AV282" s="437"/>
      <c r="AW282" s="94"/>
    </row>
    <row r="283" spans="1:49" ht="36" customHeight="1">
      <c r="A283" s="5">
        <v>307</v>
      </c>
      <c r="B283" s="625">
        <v>32</v>
      </c>
      <c r="C283" s="6" t="s">
        <v>14</v>
      </c>
      <c r="D283" s="371" t="s">
        <v>15</v>
      </c>
      <c r="E283" s="26" t="s">
        <v>1121</v>
      </c>
      <c r="F283" s="27" t="s">
        <v>1262</v>
      </c>
      <c r="G283" s="129"/>
      <c r="H283" s="603">
        <v>4209000</v>
      </c>
      <c r="I283" s="50">
        <v>2</v>
      </c>
      <c r="J283" s="55">
        <v>0.3</v>
      </c>
      <c r="K283" s="49"/>
      <c r="L283" s="56"/>
      <c r="M283" s="61">
        <v>6.0000000000000036</v>
      </c>
      <c r="N283" s="62">
        <v>6.0000000000000036</v>
      </c>
      <c r="O283" s="62">
        <v>8.0000000000000053</v>
      </c>
      <c r="P283" s="62">
        <v>8.0000000000000053</v>
      </c>
      <c r="Q283" s="62">
        <v>7</v>
      </c>
      <c r="R283" s="62">
        <v>6.0000000000000036</v>
      </c>
      <c r="S283" s="62">
        <v>0</v>
      </c>
      <c r="T283" s="63">
        <v>8</v>
      </c>
      <c r="U283" s="66" t="e">
        <f t="shared" ca="1" si="149"/>
        <v>#DIV/0!</v>
      </c>
      <c r="V283" s="66">
        <f t="shared" ca="1" si="150"/>
        <v>0.3</v>
      </c>
      <c r="W283" s="70">
        <f t="shared" si="151"/>
        <v>0.94736842105263208</v>
      </c>
      <c r="X283" s="70">
        <f t="shared" si="152"/>
        <v>0.63157894736842146</v>
      </c>
      <c r="Y283" s="70">
        <f t="shared" si="153"/>
        <v>1.1228070175438605</v>
      </c>
      <c r="Z283" s="70">
        <f t="shared" si="154"/>
        <v>1.4035087719298256</v>
      </c>
      <c r="AA283" s="70">
        <f t="shared" si="155"/>
        <v>0.61403508771929827</v>
      </c>
      <c r="AB283" s="70">
        <f t="shared" si="156"/>
        <v>0.73684210526315841</v>
      </c>
      <c r="AC283" s="70">
        <f t="shared" si="157"/>
        <v>0</v>
      </c>
      <c r="AD283" s="71">
        <f t="shared" si="158"/>
        <v>0.84210526315789469</v>
      </c>
      <c r="AE283" s="72">
        <f t="shared" si="159"/>
        <v>0.8</v>
      </c>
      <c r="AF283" s="72">
        <f t="shared" ca="1" si="160"/>
        <v>0.7</v>
      </c>
      <c r="AG283" s="73">
        <f t="shared" ca="1" si="161"/>
        <v>0.76666666666666661</v>
      </c>
      <c r="AH283" s="456">
        <f t="shared" si="162"/>
        <v>6.2982456140350909</v>
      </c>
      <c r="AI283" s="467">
        <f t="shared" ca="1" si="163"/>
        <v>48.286549707602362</v>
      </c>
      <c r="AJ283" s="458" t="str">
        <f t="shared" ca="1" si="164"/>
        <v>Q1</v>
      </c>
      <c r="AK283" s="95" t="s">
        <v>374</v>
      </c>
      <c r="AL283" s="572"/>
      <c r="AM283" s="117"/>
      <c r="AN283" s="113">
        <v>4209000</v>
      </c>
      <c r="AO283" s="113"/>
      <c r="AP283" s="113"/>
      <c r="AQ283" s="121"/>
      <c r="AR283" s="436"/>
      <c r="AS283" s="437">
        <f>AN283*(1+Efactor)</f>
        <v>4356315</v>
      </c>
      <c r="AT283" s="437"/>
      <c r="AU283" s="437"/>
      <c r="AV283" s="437"/>
      <c r="AW283" s="94"/>
    </row>
    <row r="284" spans="1:49" ht="36" customHeight="1">
      <c r="A284" s="5">
        <v>290</v>
      </c>
      <c r="B284" s="625">
        <v>41</v>
      </c>
      <c r="C284" s="14" t="s">
        <v>9</v>
      </c>
      <c r="D284" s="442" t="s">
        <v>10</v>
      </c>
      <c r="E284" s="10" t="s">
        <v>1525</v>
      </c>
      <c r="F284" s="8" t="s">
        <v>1524</v>
      </c>
      <c r="G284" s="8"/>
      <c r="H284" s="608">
        <v>350000</v>
      </c>
      <c r="I284" s="49">
        <v>2</v>
      </c>
      <c r="J284" s="427">
        <v>0.1</v>
      </c>
      <c r="K284" s="49"/>
      <c r="L284" s="428"/>
      <c r="M284" s="429">
        <v>5</v>
      </c>
      <c r="N284" s="430">
        <v>4</v>
      </c>
      <c r="O284" s="430">
        <v>5</v>
      </c>
      <c r="P284" s="430">
        <v>6</v>
      </c>
      <c r="Q284" s="430">
        <v>8</v>
      </c>
      <c r="R284" s="430">
        <v>7</v>
      </c>
      <c r="S284" s="430">
        <v>0</v>
      </c>
      <c r="T284" s="431">
        <v>10</v>
      </c>
      <c r="U284" s="657" t="e">
        <f t="shared" ca="1" si="149"/>
        <v>#DIV/0!</v>
      </c>
      <c r="V284" s="657">
        <f t="shared" ca="1" si="150"/>
        <v>0.1</v>
      </c>
      <c r="W284" s="651">
        <f t="shared" si="151"/>
        <v>0.78947368421052633</v>
      </c>
      <c r="X284" s="651">
        <f t="shared" si="152"/>
        <v>0.42105263157894735</v>
      </c>
      <c r="Y284" s="651">
        <f t="shared" si="153"/>
        <v>0.70175438596491224</v>
      </c>
      <c r="Z284" s="651">
        <f t="shared" si="154"/>
        <v>1.0526315789473684</v>
      </c>
      <c r="AA284" s="651">
        <f t="shared" si="155"/>
        <v>0.70175438596491224</v>
      </c>
      <c r="AB284" s="651">
        <f t="shared" si="156"/>
        <v>0.85964912280701755</v>
      </c>
      <c r="AC284" s="651">
        <f t="shared" si="157"/>
        <v>0</v>
      </c>
      <c r="AD284" s="652">
        <f t="shared" si="158"/>
        <v>1.0526315789473684</v>
      </c>
      <c r="AE284" s="653">
        <f t="shared" si="159"/>
        <v>0.8</v>
      </c>
      <c r="AF284" s="653">
        <f t="shared" ca="1" si="160"/>
        <v>0.9</v>
      </c>
      <c r="AG284" s="589">
        <f t="shared" ca="1" si="161"/>
        <v>0.83333333333333337</v>
      </c>
      <c r="AH284" s="658">
        <f t="shared" si="162"/>
        <v>5.5789473684210522</v>
      </c>
      <c r="AI284" s="467">
        <f t="shared" ca="1" si="163"/>
        <v>46.491228070175438</v>
      </c>
      <c r="AJ284" s="458" t="str">
        <f t="shared" ca="1" si="164"/>
        <v>Q2</v>
      </c>
      <c r="AK284" s="93" t="s">
        <v>374</v>
      </c>
      <c r="AL284" s="571"/>
      <c r="AM284" s="660">
        <v>100000</v>
      </c>
      <c r="AN284" s="113">
        <v>100000</v>
      </c>
      <c r="AO284" s="113">
        <v>150000</v>
      </c>
      <c r="AP284" s="113"/>
      <c r="AQ284" s="121"/>
      <c r="AR284" s="655">
        <f>AM284</f>
        <v>100000</v>
      </c>
      <c r="AS284" s="437">
        <v>150000</v>
      </c>
      <c r="AT284" s="437">
        <v>100000</v>
      </c>
      <c r="AU284" s="437"/>
      <c r="AV284" s="437"/>
      <c r="AW284" s="94"/>
    </row>
    <row r="285" spans="1:49" ht="36" customHeight="1">
      <c r="A285" s="5">
        <v>300</v>
      </c>
      <c r="B285" s="625">
        <v>43</v>
      </c>
      <c r="C285" s="6" t="s">
        <v>17</v>
      </c>
      <c r="D285" s="371" t="s">
        <v>19</v>
      </c>
      <c r="E285" s="26" t="s">
        <v>1247</v>
      </c>
      <c r="F285" s="27" t="s">
        <v>1252</v>
      </c>
      <c r="G285" s="127"/>
      <c r="H285" s="600">
        <v>6510150</v>
      </c>
      <c r="I285" s="50">
        <v>4</v>
      </c>
      <c r="J285" s="55">
        <v>0.2</v>
      </c>
      <c r="K285" s="49"/>
      <c r="L285" s="56"/>
      <c r="M285" s="61">
        <v>8</v>
      </c>
      <c r="N285" s="62">
        <v>8</v>
      </c>
      <c r="O285" s="62">
        <v>8</v>
      </c>
      <c r="P285" s="62">
        <v>8</v>
      </c>
      <c r="Q285" s="62">
        <v>6</v>
      </c>
      <c r="R285" s="62">
        <v>8</v>
      </c>
      <c r="S285" s="62">
        <v>0</v>
      </c>
      <c r="T285" s="63">
        <v>9</v>
      </c>
      <c r="U285" s="66" t="e">
        <f t="shared" ca="1" si="149"/>
        <v>#DIV/0!</v>
      </c>
      <c r="V285" s="66">
        <f t="shared" ca="1" si="150"/>
        <v>0.2</v>
      </c>
      <c r="W285" s="70">
        <f t="shared" si="151"/>
        <v>1.263157894736842</v>
      </c>
      <c r="X285" s="70">
        <f t="shared" si="152"/>
        <v>0.84210526315789469</v>
      </c>
      <c r="Y285" s="70">
        <f t="shared" si="153"/>
        <v>1.1228070175438596</v>
      </c>
      <c r="Z285" s="70">
        <f t="shared" si="154"/>
        <v>1.4035087719298245</v>
      </c>
      <c r="AA285" s="70">
        <f t="shared" si="155"/>
        <v>0.52631578947368418</v>
      </c>
      <c r="AB285" s="70">
        <f t="shared" si="156"/>
        <v>0.98245614035087714</v>
      </c>
      <c r="AC285" s="70">
        <f t="shared" si="157"/>
        <v>0</v>
      </c>
      <c r="AD285" s="71">
        <f t="shared" si="158"/>
        <v>0.94736842105263153</v>
      </c>
      <c r="AE285" s="72">
        <f t="shared" si="159"/>
        <v>0.6</v>
      </c>
      <c r="AF285" s="72">
        <f t="shared" ca="1" si="160"/>
        <v>0.8</v>
      </c>
      <c r="AG285" s="73">
        <f t="shared" ca="1" si="161"/>
        <v>0.66666666666666663</v>
      </c>
      <c r="AH285" s="456">
        <f t="shared" si="162"/>
        <v>7.0877192982456148</v>
      </c>
      <c r="AI285" s="467">
        <f t="shared" ca="1" si="163"/>
        <v>47.251461988304094</v>
      </c>
      <c r="AJ285" s="458" t="str">
        <f t="shared" ca="1" si="164"/>
        <v>Q3</v>
      </c>
      <c r="AK285" s="95" t="s">
        <v>374</v>
      </c>
      <c r="AL285" s="572"/>
      <c r="AM285" s="117"/>
      <c r="AN285" s="113">
        <v>1257525</v>
      </c>
      <c r="AO285" s="113">
        <v>5252625</v>
      </c>
      <c r="AP285" s="113"/>
      <c r="AQ285" s="121"/>
      <c r="AR285" s="436"/>
      <c r="AS285" s="437">
        <f>AN285*(1+Efactor)</f>
        <v>1301538.375</v>
      </c>
      <c r="AT285" s="437">
        <f>AO285*(1+Efactor)^2</f>
        <v>5626743.2156249993</v>
      </c>
      <c r="AU285" s="437"/>
      <c r="AV285" s="437"/>
      <c r="AW285" s="94"/>
    </row>
    <row r="286" spans="1:49" ht="36" customHeight="1">
      <c r="A286" s="5">
        <v>335</v>
      </c>
      <c r="B286" s="625">
        <v>46</v>
      </c>
      <c r="C286" s="6" t="s">
        <v>14</v>
      </c>
      <c r="D286" s="371" t="s">
        <v>7</v>
      </c>
      <c r="E286" s="18" t="s">
        <v>122</v>
      </c>
      <c r="F286" s="20" t="s">
        <v>1180</v>
      </c>
      <c r="G286" s="20" t="s">
        <v>123</v>
      </c>
      <c r="H286" s="603">
        <v>75000</v>
      </c>
      <c r="I286" s="50">
        <v>3</v>
      </c>
      <c r="J286" s="55">
        <v>0</v>
      </c>
      <c r="K286" s="49"/>
      <c r="L286" s="56"/>
      <c r="M286" s="61">
        <v>8.0000000000000053</v>
      </c>
      <c r="N286" s="62">
        <v>4</v>
      </c>
      <c r="O286" s="62">
        <v>6.0000000000000036</v>
      </c>
      <c r="P286" s="62">
        <v>8.0000000000000053</v>
      </c>
      <c r="Q286" s="62">
        <v>6</v>
      </c>
      <c r="R286" s="62">
        <v>3</v>
      </c>
      <c r="S286" s="62">
        <v>2</v>
      </c>
      <c r="T286" s="63">
        <v>8.0000000000000053</v>
      </c>
      <c r="U286" s="66" t="e">
        <f t="shared" ca="1" si="149"/>
        <v>#DIV/0!</v>
      </c>
      <c r="V286" s="66">
        <f t="shared" ca="1" si="150"/>
        <v>0</v>
      </c>
      <c r="W286" s="70">
        <f t="shared" si="151"/>
        <v>1.2631578947368429</v>
      </c>
      <c r="X286" s="70">
        <f t="shared" si="152"/>
        <v>0.42105263157894735</v>
      </c>
      <c r="Y286" s="70">
        <f t="shared" si="153"/>
        <v>0.84210526315789525</v>
      </c>
      <c r="Z286" s="70">
        <f t="shared" si="154"/>
        <v>1.4035087719298256</v>
      </c>
      <c r="AA286" s="70">
        <f t="shared" si="155"/>
        <v>0.52631578947368418</v>
      </c>
      <c r="AB286" s="70">
        <f t="shared" si="156"/>
        <v>0.36842105263157893</v>
      </c>
      <c r="AC286" s="70">
        <f t="shared" si="157"/>
        <v>0.21052631578947367</v>
      </c>
      <c r="AD286" s="71">
        <f t="shared" si="158"/>
        <v>0.84210526315789525</v>
      </c>
      <c r="AE286" s="72">
        <f t="shared" si="159"/>
        <v>0.7</v>
      </c>
      <c r="AF286" s="72">
        <f t="shared" ca="1" si="160"/>
        <v>1</v>
      </c>
      <c r="AG286" s="73">
        <f t="shared" ca="1" si="161"/>
        <v>0.79999999999999993</v>
      </c>
      <c r="AH286" s="456">
        <f t="shared" si="162"/>
        <v>5.8771929824561431</v>
      </c>
      <c r="AI286" s="467">
        <f t="shared" ca="1" si="163"/>
        <v>47.017543859649145</v>
      </c>
      <c r="AJ286" s="458" t="str">
        <f t="shared" ca="1" si="164"/>
        <v>Q2</v>
      </c>
      <c r="AK286" s="95" t="s">
        <v>374</v>
      </c>
      <c r="AL286" s="572"/>
      <c r="AM286" s="117"/>
      <c r="AN286" s="113">
        <v>75000</v>
      </c>
      <c r="AO286" s="113"/>
      <c r="AP286" s="113"/>
      <c r="AQ286" s="121"/>
      <c r="AR286" s="436"/>
      <c r="AS286" s="437">
        <f>AN286*(1+Efactor)</f>
        <v>77625</v>
      </c>
      <c r="AT286" s="437"/>
      <c r="AU286" s="437"/>
      <c r="AV286" s="437"/>
      <c r="AW286" s="94"/>
    </row>
    <row r="287" spans="1:49" ht="36" customHeight="1">
      <c r="A287" s="5">
        <v>314</v>
      </c>
      <c r="B287" s="625">
        <v>48</v>
      </c>
      <c r="C287" s="6" t="s">
        <v>17</v>
      </c>
      <c r="D287" s="371" t="s">
        <v>19</v>
      </c>
      <c r="E287" s="114" t="s">
        <v>1445</v>
      </c>
      <c r="F287" s="24" t="s">
        <v>1449</v>
      </c>
      <c r="G287" s="20"/>
      <c r="H287" s="603">
        <v>380000</v>
      </c>
      <c r="I287" s="50">
        <v>3</v>
      </c>
      <c r="J287" s="55">
        <v>0.2</v>
      </c>
      <c r="K287" s="49"/>
      <c r="L287" s="56"/>
      <c r="M287" s="61">
        <v>6.0000000000000036</v>
      </c>
      <c r="N287" s="62">
        <v>8.0000000000000053</v>
      </c>
      <c r="O287" s="62">
        <v>6.0000000000000036</v>
      </c>
      <c r="P287" s="62">
        <v>8.0000000000000053</v>
      </c>
      <c r="Q287" s="62">
        <v>4.0000000000000027</v>
      </c>
      <c r="R287" s="62">
        <v>6.0000000000000036</v>
      </c>
      <c r="S287" s="62">
        <v>2</v>
      </c>
      <c r="T287" s="63">
        <v>10</v>
      </c>
      <c r="U287" s="66" t="e">
        <f t="shared" ca="1" si="149"/>
        <v>#DIV/0!</v>
      </c>
      <c r="V287" s="66">
        <f t="shared" ca="1" si="150"/>
        <v>0.2</v>
      </c>
      <c r="W287" s="70">
        <f t="shared" si="151"/>
        <v>0.94736842105263208</v>
      </c>
      <c r="X287" s="70">
        <f t="shared" si="152"/>
        <v>0.84210526315789525</v>
      </c>
      <c r="Y287" s="70">
        <f t="shared" si="153"/>
        <v>0.84210526315789525</v>
      </c>
      <c r="Z287" s="70">
        <f t="shared" si="154"/>
        <v>1.4035087719298256</v>
      </c>
      <c r="AA287" s="70">
        <f t="shared" si="155"/>
        <v>0.3508771929824564</v>
      </c>
      <c r="AB287" s="70">
        <f t="shared" si="156"/>
        <v>0.73684210526315841</v>
      </c>
      <c r="AC287" s="70">
        <f t="shared" si="157"/>
        <v>0.21052631578947367</v>
      </c>
      <c r="AD287" s="71">
        <f t="shared" si="158"/>
        <v>1.0526315789473684</v>
      </c>
      <c r="AE287" s="72">
        <f t="shared" si="159"/>
        <v>0.7</v>
      </c>
      <c r="AF287" s="72">
        <f t="shared" ca="1" si="160"/>
        <v>0.8</v>
      </c>
      <c r="AG287" s="73">
        <f t="shared" ca="1" si="161"/>
        <v>0.73333333333333339</v>
      </c>
      <c r="AH287" s="456">
        <f t="shared" si="162"/>
        <v>6.3859649122807047</v>
      </c>
      <c r="AI287" s="467">
        <f t="shared" ca="1" si="163"/>
        <v>46.83040935672517</v>
      </c>
      <c r="AJ287" s="458" t="str">
        <f t="shared" ca="1" si="164"/>
        <v>Q3</v>
      </c>
      <c r="AK287" s="95" t="s">
        <v>374</v>
      </c>
      <c r="AL287" s="572"/>
      <c r="AM287" s="117">
        <v>120000</v>
      </c>
      <c r="AN287" s="113"/>
      <c r="AO287" s="113"/>
      <c r="AP287" s="113">
        <v>130000</v>
      </c>
      <c r="AQ287" s="121">
        <v>130000</v>
      </c>
      <c r="AR287" s="436">
        <f>AM287</f>
        <v>120000</v>
      </c>
      <c r="AS287" s="437"/>
      <c r="AT287" s="437"/>
      <c r="AU287" s="437">
        <f>AP287*(1+Efactor)^3</f>
        <v>144133.32374999995</v>
      </c>
      <c r="AV287" s="437">
        <f>AQ287*(1+Efactor)^4</f>
        <v>149177.99008124997</v>
      </c>
      <c r="AW287" s="94"/>
    </row>
    <row r="288" spans="1:49" ht="36" customHeight="1">
      <c r="A288" s="5">
        <v>339</v>
      </c>
      <c r="B288" s="625">
        <v>49</v>
      </c>
      <c r="C288" s="6" t="s">
        <v>14</v>
      </c>
      <c r="D288" s="371" t="s">
        <v>418</v>
      </c>
      <c r="E288" s="10" t="s">
        <v>1433</v>
      </c>
      <c r="F288" s="23" t="s">
        <v>1437</v>
      </c>
      <c r="G288" s="17" t="s">
        <v>57</v>
      </c>
      <c r="H288" s="603">
        <v>130000</v>
      </c>
      <c r="I288" s="50">
        <v>3</v>
      </c>
      <c r="J288" s="55">
        <v>0.1</v>
      </c>
      <c r="K288" s="49"/>
      <c r="L288" s="56"/>
      <c r="M288" s="61">
        <v>6.0000000000000036</v>
      </c>
      <c r="N288" s="62">
        <v>8</v>
      </c>
      <c r="O288" s="62">
        <v>6.0000000000000036</v>
      </c>
      <c r="P288" s="62">
        <v>8.0000000000000053</v>
      </c>
      <c r="Q288" s="62">
        <v>4.0000000000000027</v>
      </c>
      <c r="R288" s="62">
        <v>6.0000000000000036</v>
      </c>
      <c r="S288" s="62">
        <v>1</v>
      </c>
      <c r="T288" s="63">
        <v>8</v>
      </c>
      <c r="U288" s="66" t="e">
        <f t="shared" ca="1" si="149"/>
        <v>#DIV/0!</v>
      </c>
      <c r="V288" s="66">
        <f t="shared" ca="1" si="150"/>
        <v>0.1</v>
      </c>
      <c r="W288" s="70">
        <f t="shared" si="151"/>
        <v>0.94736842105263208</v>
      </c>
      <c r="X288" s="70">
        <f t="shared" si="152"/>
        <v>0.84210526315789469</v>
      </c>
      <c r="Y288" s="70">
        <f t="shared" si="153"/>
        <v>0.84210526315789525</v>
      </c>
      <c r="Z288" s="70">
        <f t="shared" si="154"/>
        <v>1.4035087719298256</v>
      </c>
      <c r="AA288" s="70">
        <f t="shared" si="155"/>
        <v>0.3508771929824564</v>
      </c>
      <c r="AB288" s="70">
        <f t="shared" si="156"/>
        <v>0.73684210526315841</v>
      </c>
      <c r="AC288" s="70">
        <f t="shared" si="157"/>
        <v>0.10526315789473684</v>
      </c>
      <c r="AD288" s="71">
        <f t="shared" si="158"/>
        <v>0.84210526315789469</v>
      </c>
      <c r="AE288" s="72">
        <f t="shared" si="159"/>
        <v>0.7</v>
      </c>
      <c r="AF288" s="72">
        <f t="shared" ca="1" si="160"/>
        <v>0.9</v>
      </c>
      <c r="AG288" s="73">
        <f t="shared" ca="1" si="161"/>
        <v>0.76666666666666661</v>
      </c>
      <c r="AH288" s="456">
        <f t="shared" si="162"/>
        <v>6.0701754385964941</v>
      </c>
      <c r="AI288" s="467">
        <f t="shared" ca="1" si="163"/>
        <v>46.538011695906448</v>
      </c>
      <c r="AJ288" s="458" t="str">
        <f t="shared" ca="1" si="164"/>
        <v>Q1</v>
      </c>
      <c r="AK288" s="95" t="s">
        <v>374</v>
      </c>
      <c r="AL288" s="572"/>
      <c r="AM288" s="117"/>
      <c r="AN288" s="443">
        <v>130000</v>
      </c>
      <c r="AO288" s="113"/>
      <c r="AP288" s="113"/>
      <c r="AQ288" s="121"/>
      <c r="AR288" s="436"/>
      <c r="AS288" s="437">
        <f>AN288*(1+Efactor)</f>
        <v>134550</v>
      </c>
      <c r="AT288" s="437"/>
      <c r="AU288" s="437"/>
      <c r="AV288" s="437"/>
      <c r="AW288" s="94"/>
    </row>
    <row r="289" spans="1:49" ht="36" customHeight="1">
      <c r="A289" s="5">
        <v>157</v>
      </c>
      <c r="B289" s="625">
        <v>50</v>
      </c>
      <c r="C289" s="6" t="s">
        <v>9</v>
      </c>
      <c r="D289" s="371" t="s">
        <v>10</v>
      </c>
      <c r="E289" s="10" t="s">
        <v>330</v>
      </c>
      <c r="F289" s="17" t="s">
        <v>1502</v>
      </c>
      <c r="G289" s="133" t="s">
        <v>331</v>
      </c>
      <c r="H289" s="603">
        <v>300000</v>
      </c>
      <c r="I289" s="50">
        <v>2</v>
      </c>
      <c r="J289" s="55">
        <v>0</v>
      </c>
      <c r="K289" s="49"/>
      <c r="L289" s="56"/>
      <c r="M289" s="61">
        <v>4.0000000000000027</v>
      </c>
      <c r="N289" s="62">
        <v>6.0000000000000036</v>
      </c>
      <c r="O289" s="62">
        <v>4.0000000000000027</v>
      </c>
      <c r="P289" s="62">
        <v>6.0000000000000036</v>
      </c>
      <c r="Q289" s="62">
        <v>8.0000000000000053</v>
      </c>
      <c r="R289" s="62">
        <v>6.0000000000000036</v>
      </c>
      <c r="S289" s="62">
        <v>0</v>
      </c>
      <c r="T289" s="63">
        <v>10</v>
      </c>
      <c r="U289" s="66" t="e">
        <f t="shared" ca="1" si="149"/>
        <v>#DIV/0!</v>
      </c>
      <c r="V289" s="66">
        <f t="shared" ca="1" si="150"/>
        <v>0</v>
      </c>
      <c r="W289" s="70">
        <f t="shared" si="151"/>
        <v>0.63157894736842146</v>
      </c>
      <c r="X289" s="70">
        <f t="shared" si="152"/>
        <v>0.63157894736842146</v>
      </c>
      <c r="Y289" s="70">
        <f t="shared" si="153"/>
        <v>0.56140350877193024</v>
      </c>
      <c r="Z289" s="70">
        <f t="shared" si="154"/>
        <v>1.052631578947369</v>
      </c>
      <c r="AA289" s="70">
        <f t="shared" si="155"/>
        <v>0.7017543859649128</v>
      </c>
      <c r="AB289" s="70">
        <f t="shared" si="156"/>
        <v>0.73684210526315841</v>
      </c>
      <c r="AC289" s="70">
        <f t="shared" si="157"/>
        <v>0</v>
      </c>
      <c r="AD289" s="71">
        <f t="shared" si="158"/>
        <v>1.0526315789473684</v>
      </c>
      <c r="AE289" s="72">
        <f t="shared" si="159"/>
        <v>0.8</v>
      </c>
      <c r="AF289" s="72">
        <f t="shared" ca="1" si="160"/>
        <v>1</v>
      </c>
      <c r="AG289" s="73">
        <f t="shared" ca="1" si="161"/>
        <v>0.8666666666666667</v>
      </c>
      <c r="AH289" s="456">
        <f t="shared" si="162"/>
        <v>5.3684210526315814</v>
      </c>
      <c r="AI289" s="467">
        <f t="shared" ca="1" si="163"/>
        <v>46.526315789473706</v>
      </c>
      <c r="AJ289" s="458" t="str">
        <f t="shared" ca="1" si="164"/>
        <v>Q2</v>
      </c>
      <c r="AK289" s="95" t="s">
        <v>374</v>
      </c>
      <c r="AL289" s="572"/>
      <c r="AM289" s="117"/>
      <c r="AN289" s="113">
        <v>100000</v>
      </c>
      <c r="AO289" s="113"/>
      <c r="AP289" s="113"/>
      <c r="AQ289" s="121"/>
      <c r="AR289" s="436"/>
      <c r="AS289" s="437">
        <f>AN289*(1+Efactor)</f>
        <v>103499.99999999999</v>
      </c>
      <c r="AT289" s="437"/>
      <c r="AU289" s="437"/>
      <c r="AV289" s="437"/>
      <c r="AW289" s="94"/>
    </row>
    <row r="290" spans="1:49" ht="36" customHeight="1">
      <c r="A290" s="5">
        <v>357</v>
      </c>
      <c r="B290" s="625">
        <v>55</v>
      </c>
      <c r="C290" s="6" t="s">
        <v>17</v>
      </c>
      <c r="D290" s="371" t="s">
        <v>418</v>
      </c>
      <c r="E290" s="10" t="s">
        <v>1428</v>
      </c>
      <c r="F290" s="17" t="s">
        <v>1429</v>
      </c>
      <c r="G290" s="131" t="s">
        <v>153</v>
      </c>
      <c r="H290" s="603">
        <v>240000</v>
      </c>
      <c r="I290" s="50">
        <v>3</v>
      </c>
      <c r="J290" s="55">
        <v>0</v>
      </c>
      <c r="K290" s="49"/>
      <c r="L290" s="56"/>
      <c r="M290" s="61">
        <v>6.0000000000000036</v>
      </c>
      <c r="N290" s="62">
        <v>8.0000000000000053</v>
      </c>
      <c r="O290" s="62">
        <v>5</v>
      </c>
      <c r="P290" s="62">
        <v>8.0000000000000053</v>
      </c>
      <c r="Q290" s="62">
        <v>4.0000000000000027</v>
      </c>
      <c r="R290" s="62">
        <v>6.0000000000000036</v>
      </c>
      <c r="S290" s="62">
        <v>0</v>
      </c>
      <c r="T290" s="63">
        <v>7</v>
      </c>
      <c r="U290" s="66" t="e">
        <f t="shared" ca="1" si="149"/>
        <v>#DIV/0!</v>
      </c>
      <c r="V290" s="66">
        <f t="shared" ca="1" si="150"/>
        <v>0</v>
      </c>
      <c r="W290" s="70">
        <f t="shared" si="151"/>
        <v>0.94736842105263208</v>
      </c>
      <c r="X290" s="70">
        <f t="shared" si="152"/>
        <v>0.84210526315789525</v>
      </c>
      <c r="Y290" s="70">
        <f t="shared" si="153"/>
        <v>0.70175438596491224</v>
      </c>
      <c r="Z290" s="70">
        <f t="shared" si="154"/>
        <v>1.4035087719298256</v>
      </c>
      <c r="AA290" s="70">
        <f t="shared" si="155"/>
        <v>0.3508771929824564</v>
      </c>
      <c r="AB290" s="70">
        <f t="shared" si="156"/>
        <v>0.73684210526315841</v>
      </c>
      <c r="AC290" s="70">
        <f t="shared" si="157"/>
        <v>0</v>
      </c>
      <c r="AD290" s="71">
        <f t="shared" si="158"/>
        <v>0.73684210526315785</v>
      </c>
      <c r="AE290" s="72">
        <f t="shared" si="159"/>
        <v>0.7</v>
      </c>
      <c r="AF290" s="72">
        <f t="shared" ca="1" si="160"/>
        <v>1</v>
      </c>
      <c r="AG290" s="73">
        <f t="shared" ca="1" si="161"/>
        <v>0.79999999999999993</v>
      </c>
      <c r="AH290" s="456">
        <f t="shared" si="162"/>
        <v>5.7192982456140378</v>
      </c>
      <c r="AI290" s="467">
        <f t="shared" ca="1" si="163"/>
        <v>45.754385964912302</v>
      </c>
      <c r="AJ290" s="458" t="str">
        <f t="shared" ca="1" si="164"/>
        <v>Q2</v>
      </c>
      <c r="AK290" s="95" t="s">
        <v>374</v>
      </c>
      <c r="AL290" s="111"/>
      <c r="AM290" s="117"/>
      <c r="AN290" s="113">
        <v>240000</v>
      </c>
      <c r="AO290" s="113"/>
      <c r="AP290" s="113"/>
      <c r="AQ290" s="121"/>
      <c r="AR290" s="436"/>
      <c r="AS290" s="437">
        <f>AN290*(1+Efactor)</f>
        <v>248399.99999999997</v>
      </c>
      <c r="AT290" s="437"/>
      <c r="AU290" s="437"/>
      <c r="AV290" s="437"/>
      <c r="AW290" s="94"/>
    </row>
    <row r="291" spans="1:49" ht="36" customHeight="1">
      <c r="A291" s="5">
        <v>330</v>
      </c>
      <c r="B291" s="625">
        <v>58</v>
      </c>
      <c r="C291" s="6" t="s">
        <v>9</v>
      </c>
      <c r="D291" s="371" t="s">
        <v>10</v>
      </c>
      <c r="E291" s="10" t="s">
        <v>187</v>
      </c>
      <c r="F291" s="28" t="s">
        <v>1453</v>
      </c>
      <c r="G291" s="132" t="s">
        <v>188</v>
      </c>
      <c r="H291" s="603">
        <v>200000</v>
      </c>
      <c r="I291" s="50">
        <v>2</v>
      </c>
      <c r="J291" s="55">
        <v>0</v>
      </c>
      <c r="K291" s="49"/>
      <c r="L291" s="56"/>
      <c r="M291" s="61">
        <v>6</v>
      </c>
      <c r="N291" s="62">
        <v>6.0000000000000036</v>
      </c>
      <c r="O291" s="62">
        <v>5</v>
      </c>
      <c r="P291" s="62">
        <v>6.0000000000000036</v>
      </c>
      <c r="Q291" s="62">
        <v>4.0000000000000027</v>
      </c>
      <c r="R291" s="62">
        <v>6.0000000000000036</v>
      </c>
      <c r="S291" s="62">
        <v>0</v>
      </c>
      <c r="T291" s="63">
        <v>8</v>
      </c>
      <c r="U291" s="66" t="e">
        <f t="shared" ca="1" si="149"/>
        <v>#DIV/0!</v>
      </c>
      <c r="V291" s="66">
        <f t="shared" ca="1" si="150"/>
        <v>0</v>
      </c>
      <c r="W291" s="70">
        <f t="shared" si="151"/>
        <v>0.94736842105263153</v>
      </c>
      <c r="X291" s="70">
        <f t="shared" si="152"/>
        <v>0.63157894736842146</v>
      </c>
      <c r="Y291" s="70">
        <f t="shared" si="153"/>
        <v>0.70175438596491224</v>
      </c>
      <c r="Z291" s="70">
        <f t="shared" si="154"/>
        <v>1.052631578947369</v>
      </c>
      <c r="AA291" s="70">
        <f t="shared" si="155"/>
        <v>0.3508771929824564</v>
      </c>
      <c r="AB291" s="70">
        <f t="shared" si="156"/>
        <v>0.73684210526315841</v>
      </c>
      <c r="AC291" s="70">
        <f t="shared" si="157"/>
        <v>0</v>
      </c>
      <c r="AD291" s="71">
        <f t="shared" si="158"/>
        <v>0.84210526315789469</v>
      </c>
      <c r="AE291" s="72">
        <f t="shared" si="159"/>
        <v>0.8</v>
      </c>
      <c r="AF291" s="72">
        <f t="shared" ca="1" si="160"/>
        <v>1</v>
      </c>
      <c r="AG291" s="73">
        <f t="shared" ca="1" si="161"/>
        <v>0.8666666666666667</v>
      </c>
      <c r="AH291" s="456">
        <f t="shared" si="162"/>
        <v>5.2631578947368434</v>
      </c>
      <c r="AI291" s="467">
        <f t="shared" ca="1" si="163"/>
        <v>45.614035087719309</v>
      </c>
      <c r="AJ291" s="458" t="str">
        <f t="shared" ca="1" si="164"/>
        <v>Q2</v>
      </c>
      <c r="AK291" s="95" t="s">
        <v>374</v>
      </c>
      <c r="AL291" s="573"/>
      <c r="AM291" s="117"/>
      <c r="AN291" s="113">
        <v>200000</v>
      </c>
      <c r="AO291" s="113"/>
      <c r="AP291" s="113"/>
      <c r="AQ291" s="121"/>
      <c r="AR291" s="436"/>
      <c r="AS291" s="437">
        <f>AN291*(1+Efactor)</f>
        <v>206999.99999999997</v>
      </c>
      <c r="AT291" s="437"/>
      <c r="AU291" s="437"/>
      <c r="AV291" s="437"/>
      <c r="AW291" s="94"/>
    </row>
    <row r="292" spans="1:49" ht="36" customHeight="1">
      <c r="A292" s="5">
        <v>331</v>
      </c>
      <c r="B292" s="625">
        <v>60</v>
      </c>
      <c r="C292" s="6" t="s">
        <v>14</v>
      </c>
      <c r="D292" s="371" t="s">
        <v>15</v>
      </c>
      <c r="E292" s="7" t="s">
        <v>982</v>
      </c>
      <c r="F292" s="8" t="s">
        <v>1451</v>
      </c>
      <c r="G292" s="8" t="s">
        <v>1105</v>
      </c>
      <c r="H292" s="600">
        <v>100000</v>
      </c>
      <c r="I292" s="49">
        <v>2</v>
      </c>
      <c r="J292" s="55">
        <v>0.1</v>
      </c>
      <c r="K292" s="49"/>
      <c r="L292" s="56"/>
      <c r="M292" s="61">
        <v>6</v>
      </c>
      <c r="N292" s="62">
        <v>7</v>
      </c>
      <c r="O292" s="62">
        <v>3</v>
      </c>
      <c r="P292" s="62">
        <v>8</v>
      </c>
      <c r="Q292" s="62">
        <v>2</v>
      </c>
      <c r="R292" s="62">
        <v>6</v>
      </c>
      <c r="S292" s="62">
        <v>0</v>
      </c>
      <c r="T292" s="63">
        <v>10</v>
      </c>
      <c r="U292" s="66" t="e">
        <f t="shared" ca="1" si="149"/>
        <v>#DIV/0!</v>
      </c>
      <c r="V292" s="66">
        <f t="shared" ca="1" si="150"/>
        <v>0.1</v>
      </c>
      <c r="W292" s="70">
        <f t="shared" si="151"/>
        <v>0.94736842105263153</v>
      </c>
      <c r="X292" s="70">
        <f t="shared" si="152"/>
        <v>0.73684210526315785</v>
      </c>
      <c r="Y292" s="70">
        <f t="shared" si="153"/>
        <v>0.42105263157894735</v>
      </c>
      <c r="Z292" s="70">
        <f t="shared" si="154"/>
        <v>1.4035087719298245</v>
      </c>
      <c r="AA292" s="70">
        <f t="shared" si="155"/>
        <v>0.17543859649122806</v>
      </c>
      <c r="AB292" s="70">
        <f t="shared" si="156"/>
        <v>0.73684210526315785</v>
      </c>
      <c r="AC292" s="70">
        <f t="shared" si="157"/>
        <v>0</v>
      </c>
      <c r="AD292" s="71">
        <f t="shared" si="158"/>
        <v>1.0526315789473684</v>
      </c>
      <c r="AE292" s="72">
        <f t="shared" si="159"/>
        <v>0.8</v>
      </c>
      <c r="AF292" s="72">
        <f t="shared" ca="1" si="160"/>
        <v>0.9</v>
      </c>
      <c r="AG292" s="73">
        <f t="shared" ca="1" si="161"/>
        <v>0.83333333333333337</v>
      </c>
      <c r="AH292" s="456">
        <f t="shared" si="162"/>
        <v>5.473684210526315</v>
      </c>
      <c r="AI292" s="467">
        <f t="shared" ca="1" si="163"/>
        <v>45.614035087719301</v>
      </c>
      <c r="AJ292" s="458" t="str">
        <f t="shared" ca="1" si="164"/>
        <v>Q2</v>
      </c>
      <c r="AK292" s="95" t="s">
        <v>374</v>
      </c>
      <c r="AL292" s="571"/>
      <c r="AM292" s="117"/>
      <c r="AN292" s="113">
        <v>100000</v>
      </c>
      <c r="AO292" s="113"/>
      <c r="AP292" s="113"/>
      <c r="AQ292" s="121"/>
      <c r="AR292" s="438"/>
      <c r="AS292" s="437">
        <f>AN292*(1+Efactor)</f>
        <v>103499.99999999999</v>
      </c>
      <c r="AT292" s="437"/>
      <c r="AU292" s="437"/>
      <c r="AV292" s="437"/>
      <c r="AW292" s="94"/>
    </row>
    <row r="293" spans="1:49" ht="36" customHeight="1">
      <c r="A293" s="5">
        <v>374</v>
      </c>
      <c r="B293" s="625">
        <v>65</v>
      </c>
      <c r="C293" s="6" t="s">
        <v>14</v>
      </c>
      <c r="D293" s="371" t="s">
        <v>15</v>
      </c>
      <c r="E293" s="10" t="s">
        <v>1122</v>
      </c>
      <c r="F293" s="16" t="s">
        <v>1278</v>
      </c>
      <c r="G293" s="8"/>
      <c r="H293" s="615">
        <v>4034180</v>
      </c>
      <c r="I293" s="50">
        <v>3</v>
      </c>
      <c r="J293" s="55">
        <v>0.3</v>
      </c>
      <c r="K293" s="49"/>
      <c r="L293" s="56"/>
      <c r="M293" s="61">
        <v>6</v>
      </c>
      <c r="N293" s="62">
        <v>6</v>
      </c>
      <c r="O293" s="62">
        <v>7</v>
      </c>
      <c r="P293" s="62">
        <v>8</v>
      </c>
      <c r="Q293" s="62">
        <v>5</v>
      </c>
      <c r="R293" s="62">
        <v>8</v>
      </c>
      <c r="S293" s="62">
        <v>0</v>
      </c>
      <c r="T293" s="63">
        <v>10</v>
      </c>
      <c r="U293" s="66" t="e">
        <f t="shared" ca="1" si="149"/>
        <v>#DIV/0!</v>
      </c>
      <c r="V293" s="66">
        <f t="shared" ca="1" si="150"/>
        <v>0.3</v>
      </c>
      <c r="W293" s="70">
        <f t="shared" si="151"/>
        <v>0.94736842105263153</v>
      </c>
      <c r="X293" s="70">
        <f t="shared" si="152"/>
        <v>0.63157894736842102</v>
      </c>
      <c r="Y293" s="70">
        <f t="shared" si="153"/>
        <v>0.98245614035087714</v>
      </c>
      <c r="Z293" s="70">
        <f t="shared" si="154"/>
        <v>1.4035087719298245</v>
      </c>
      <c r="AA293" s="70">
        <f t="shared" si="155"/>
        <v>0.43859649122807015</v>
      </c>
      <c r="AB293" s="70">
        <f t="shared" si="156"/>
        <v>0.98245614035087714</v>
      </c>
      <c r="AC293" s="70">
        <f t="shared" si="157"/>
        <v>0</v>
      </c>
      <c r="AD293" s="71">
        <f t="shared" si="158"/>
        <v>1.0526315789473684</v>
      </c>
      <c r="AE293" s="72">
        <f t="shared" si="159"/>
        <v>0.7</v>
      </c>
      <c r="AF293" s="72">
        <f t="shared" ca="1" si="160"/>
        <v>0.7</v>
      </c>
      <c r="AG293" s="73">
        <f t="shared" ca="1" si="161"/>
        <v>0.69999999999999984</v>
      </c>
      <c r="AH293" s="456">
        <f t="shared" si="162"/>
        <v>6.4385964912280702</v>
      </c>
      <c r="AI293" s="467">
        <f t="shared" ca="1" si="163"/>
        <v>45.070175438596479</v>
      </c>
      <c r="AJ293" s="458" t="str">
        <f t="shared" ca="1" si="164"/>
        <v>Q3</v>
      </c>
      <c r="AK293" s="95" t="s">
        <v>374</v>
      </c>
      <c r="AL293" s="571"/>
      <c r="AM293" s="107"/>
      <c r="AN293" s="105"/>
      <c r="AO293" s="113">
        <v>4034180</v>
      </c>
      <c r="AP293" s="105"/>
      <c r="AQ293" s="493"/>
      <c r="AR293" s="436"/>
      <c r="AS293" s="437"/>
      <c r="AT293" s="437">
        <f t="shared" ref="AT293:AT298" si="166">AO293*(1+Efactor)^2</f>
        <v>4321514.4704999998</v>
      </c>
      <c r="AU293" s="437"/>
      <c r="AV293" s="437"/>
      <c r="AW293" s="94"/>
    </row>
    <row r="294" spans="1:49" ht="36" customHeight="1">
      <c r="A294" s="5">
        <v>237</v>
      </c>
      <c r="B294" s="625">
        <v>67</v>
      </c>
      <c r="C294" s="6" t="s">
        <v>17</v>
      </c>
      <c r="D294" s="371" t="s">
        <v>19</v>
      </c>
      <c r="E294" s="26" t="s">
        <v>1248</v>
      </c>
      <c r="F294" s="27" t="s">
        <v>1253</v>
      </c>
      <c r="G294" s="127"/>
      <c r="H294" s="600">
        <v>3958875</v>
      </c>
      <c r="I294" s="50">
        <v>4</v>
      </c>
      <c r="J294" s="55">
        <v>0.3</v>
      </c>
      <c r="K294" s="49"/>
      <c r="L294" s="56"/>
      <c r="M294" s="61">
        <v>8</v>
      </c>
      <c r="N294" s="62">
        <v>8</v>
      </c>
      <c r="O294" s="62">
        <v>8</v>
      </c>
      <c r="P294" s="62">
        <v>8</v>
      </c>
      <c r="Q294" s="62">
        <v>5</v>
      </c>
      <c r="R294" s="62">
        <v>8</v>
      </c>
      <c r="S294" s="62">
        <v>0</v>
      </c>
      <c r="T294" s="63">
        <v>9</v>
      </c>
      <c r="U294" s="66" t="e">
        <f t="shared" ca="1" si="149"/>
        <v>#DIV/0!</v>
      </c>
      <c r="V294" s="66">
        <f t="shared" ca="1" si="150"/>
        <v>0.3</v>
      </c>
      <c r="W294" s="70">
        <f t="shared" si="151"/>
        <v>1.263157894736842</v>
      </c>
      <c r="X294" s="70">
        <f t="shared" si="152"/>
        <v>0.84210526315789469</v>
      </c>
      <c r="Y294" s="70">
        <f t="shared" si="153"/>
        <v>1.1228070175438596</v>
      </c>
      <c r="Z294" s="70">
        <f t="shared" si="154"/>
        <v>1.4035087719298245</v>
      </c>
      <c r="AA294" s="70">
        <f t="shared" si="155"/>
        <v>0.43859649122807015</v>
      </c>
      <c r="AB294" s="70">
        <f t="shared" si="156"/>
        <v>0.98245614035087714</v>
      </c>
      <c r="AC294" s="70">
        <f t="shared" si="157"/>
        <v>0</v>
      </c>
      <c r="AD294" s="71">
        <f t="shared" si="158"/>
        <v>0.94736842105263153</v>
      </c>
      <c r="AE294" s="72">
        <f t="shared" si="159"/>
        <v>0.6</v>
      </c>
      <c r="AF294" s="72">
        <f t="shared" ca="1" si="160"/>
        <v>0.7</v>
      </c>
      <c r="AG294" s="73">
        <f t="shared" ca="1" si="161"/>
        <v>0.6333333333333333</v>
      </c>
      <c r="AH294" s="456">
        <f t="shared" si="162"/>
        <v>7</v>
      </c>
      <c r="AI294" s="467">
        <f t="shared" ca="1" si="163"/>
        <v>44.333333333333336</v>
      </c>
      <c r="AJ294" s="458" t="str">
        <f t="shared" ca="1" si="164"/>
        <v>Q3</v>
      </c>
      <c r="AK294" s="95" t="s">
        <v>374</v>
      </c>
      <c r="AL294" s="111"/>
      <c r="AM294" s="117"/>
      <c r="AN294" s="113"/>
      <c r="AO294" s="113">
        <v>569250</v>
      </c>
      <c r="AP294" s="113">
        <v>3389625</v>
      </c>
      <c r="AQ294" s="121"/>
      <c r="AR294" s="436"/>
      <c r="AS294" s="437"/>
      <c r="AT294" s="437">
        <f t="shared" si="166"/>
        <v>609794.83124999993</v>
      </c>
      <c r="AU294" s="437">
        <f>AP294*(1+Efactor)^3</f>
        <v>3758137.827046874</v>
      </c>
      <c r="AV294" s="437"/>
      <c r="AW294" s="94"/>
    </row>
    <row r="295" spans="1:49" ht="36" customHeight="1">
      <c r="A295" s="5">
        <v>288</v>
      </c>
      <c r="B295" s="625">
        <v>74</v>
      </c>
      <c r="C295" s="6" t="s">
        <v>17</v>
      </c>
      <c r="D295" s="371" t="s">
        <v>19</v>
      </c>
      <c r="E295" s="114" t="s">
        <v>1442</v>
      </c>
      <c r="F295" s="25" t="s">
        <v>1329</v>
      </c>
      <c r="G295" s="24" t="s">
        <v>1102</v>
      </c>
      <c r="H295" s="603">
        <v>100000</v>
      </c>
      <c r="I295" s="50">
        <v>3</v>
      </c>
      <c r="J295" s="55">
        <v>0.1</v>
      </c>
      <c r="K295" s="49"/>
      <c r="L295" s="56"/>
      <c r="M295" s="61">
        <v>6.0000000000000036</v>
      </c>
      <c r="N295" s="62">
        <v>8.0000000000000053</v>
      </c>
      <c r="O295" s="62">
        <v>6.0000000000000036</v>
      </c>
      <c r="P295" s="62">
        <v>8.0000000000000053</v>
      </c>
      <c r="Q295" s="62">
        <v>1</v>
      </c>
      <c r="R295" s="62">
        <v>6.0000000000000036</v>
      </c>
      <c r="S295" s="62">
        <v>0</v>
      </c>
      <c r="T295" s="63">
        <v>8</v>
      </c>
      <c r="U295" s="66" t="e">
        <f t="shared" ca="1" si="149"/>
        <v>#DIV/0!</v>
      </c>
      <c r="V295" s="66">
        <f t="shared" ca="1" si="150"/>
        <v>0.1</v>
      </c>
      <c r="W295" s="70">
        <f t="shared" si="151"/>
        <v>0.94736842105263208</v>
      </c>
      <c r="X295" s="70">
        <f t="shared" si="152"/>
        <v>0.84210526315789525</v>
      </c>
      <c r="Y295" s="70">
        <f t="shared" si="153"/>
        <v>0.84210526315789525</v>
      </c>
      <c r="Z295" s="70">
        <f t="shared" si="154"/>
        <v>1.4035087719298256</v>
      </c>
      <c r="AA295" s="70">
        <f t="shared" si="155"/>
        <v>8.771929824561403E-2</v>
      </c>
      <c r="AB295" s="70">
        <f t="shared" si="156"/>
        <v>0.73684210526315841</v>
      </c>
      <c r="AC295" s="70">
        <f t="shared" si="157"/>
        <v>0</v>
      </c>
      <c r="AD295" s="71">
        <f t="shared" si="158"/>
        <v>0.84210526315789469</v>
      </c>
      <c r="AE295" s="72">
        <f t="shared" si="159"/>
        <v>0.7</v>
      </c>
      <c r="AF295" s="72">
        <f t="shared" ca="1" si="160"/>
        <v>0.9</v>
      </c>
      <c r="AG295" s="73">
        <f t="shared" ca="1" si="161"/>
        <v>0.76666666666666661</v>
      </c>
      <c r="AH295" s="456">
        <f t="shared" si="162"/>
        <v>5.7017543859649154</v>
      </c>
      <c r="AI295" s="467">
        <f t="shared" ca="1" si="163"/>
        <v>43.713450292397681</v>
      </c>
      <c r="AJ295" s="458" t="str">
        <f t="shared" ca="1" si="164"/>
        <v>Q2</v>
      </c>
      <c r="AK295" s="95" t="s">
        <v>374</v>
      </c>
      <c r="AL295" s="573"/>
      <c r="AM295" s="117"/>
      <c r="AN295" s="113"/>
      <c r="AO295" s="113">
        <v>100000</v>
      </c>
      <c r="AP295" s="113"/>
      <c r="AQ295" s="121"/>
      <c r="AR295" s="436"/>
      <c r="AS295" s="437"/>
      <c r="AT295" s="437">
        <f t="shared" si="166"/>
        <v>107122.49999999999</v>
      </c>
      <c r="AU295" s="437"/>
      <c r="AV295" s="437"/>
      <c r="AW295" s="94"/>
    </row>
    <row r="296" spans="1:49" ht="36" customHeight="1">
      <c r="A296" s="5">
        <v>355</v>
      </c>
      <c r="B296" s="625">
        <v>84</v>
      </c>
      <c r="C296" s="6" t="s">
        <v>17</v>
      </c>
      <c r="D296" s="371" t="s">
        <v>418</v>
      </c>
      <c r="E296" s="10" t="s">
        <v>1427</v>
      </c>
      <c r="F296" s="17" t="s">
        <v>1430</v>
      </c>
      <c r="G296" s="131" t="s">
        <v>154</v>
      </c>
      <c r="H296" s="603">
        <v>160000</v>
      </c>
      <c r="I296" s="50">
        <v>4</v>
      </c>
      <c r="J296" s="55">
        <v>0.1</v>
      </c>
      <c r="K296" s="49"/>
      <c r="L296" s="56"/>
      <c r="M296" s="61">
        <v>6.0000000000000036</v>
      </c>
      <c r="N296" s="62">
        <v>8.0000000000000053</v>
      </c>
      <c r="O296" s="62">
        <v>6.0000000000000036</v>
      </c>
      <c r="P296" s="62">
        <v>8.0000000000000053</v>
      </c>
      <c r="Q296" s="62">
        <v>4.0000000000000027</v>
      </c>
      <c r="R296" s="62">
        <v>6.0000000000000036</v>
      </c>
      <c r="S296" s="62">
        <v>0</v>
      </c>
      <c r="T296" s="63">
        <v>7</v>
      </c>
      <c r="U296" s="66" t="e">
        <f t="shared" ca="1" si="149"/>
        <v>#DIV/0!</v>
      </c>
      <c r="V296" s="66">
        <f t="shared" ca="1" si="150"/>
        <v>0.1</v>
      </c>
      <c r="W296" s="70">
        <f t="shared" si="151"/>
        <v>0.94736842105263208</v>
      </c>
      <c r="X296" s="70">
        <f t="shared" si="152"/>
        <v>0.84210526315789525</v>
      </c>
      <c r="Y296" s="70">
        <f t="shared" si="153"/>
        <v>0.84210526315789525</v>
      </c>
      <c r="Z296" s="70">
        <f t="shared" si="154"/>
        <v>1.4035087719298256</v>
      </c>
      <c r="AA296" s="70">
        <f t="shared" si="155"/>
        <v>0.3508771929824564</v>
      </c>
      <c r="AB296" s="70">
        <f t="shared" si="156"/>
        <v>0.73684210526315841</v>
      </c>
      <c r="AC296" s="70">
        <f t="shared" si="157"/>
        <v>0</v>
      </c>
      <c r="AD296" s="71">
        <f t="shared" si="158"/>
        <v>0.73684210526315785</v>
      </c>
      <c r="AE296" s="72">
        <f t="shared" si="159"/>
        <v>0.6</v>
      </c>
      <c r="AF296" s="72">
        <f t="shared" ca="1" si="160"/>
        <v>0.9</v>
      </c>
      <c r="AG296" s="73">
        <f t="shared" ca="1" si="161"/>
        <v>0.70000000000000007</v>
      </c>
      <c r="AH296" s="456">
        <f t="shared" si="162"/>
        <v>5.8596491228070207</v>
      </c>
      <c r="AI296" s="467">
        <f t="shared" ca="1" si="163"/>
        <v>41.017543859649152</v>
      </c>
      <c r="AJ296" s="458" t="str">
        <f t="shared" ca="1" si="164"/>
        <v>Q4</v>
      </c>
      <c r="AK296" s="95" t="s">
        <v>374</v>
      </c>
      <c r="AL296" s="572"/>
      <c r="AM296" s="117"/>
      <c r="AN296" s="113"/>
      <c r="AO296" s="113">
        <v>160000</v>
      </c>
      <c r="AP296" s="113"/>
      <c r="AQ296" s="121"/>
      <c r="AR296" s="436"/>
      <c r="AS296" s="437"/>
      <c r="AT296" s="437">
        <f t="shared" si="166"/>
        <v>171395.99999999997</v>
      </c>
      <c r="AU296" s="437"/>
      <c r="AV296" s="437"/>
      <c r="AW296" s="94"/>
    </row>
    <row r="297" spans="1:49" ht="36" customHeight="1">
      <c r="A297" s="5">
        <v>320</v>
      </c>
      <c r="B297" s="625">
        <v>85</v>
      </c>
      <c r="C297" s="6" t="s">
        <v>14</v>
      </c>
      <c r="D297" s="371" t="s">
        <v>418</v>
      </c>
      <c r="E297" s="10" t="s">
        <v>1434</v>
      </c>
      <c r="F297" s="23" t="s">
        <v>1438</v>
      </c>
      <c r="G297" s="17" t="s">
        <v>93</v>
      </c>
      <c r="H297" s="603">
        <v>130000</v>
      </c>
      <c r="I297" s="50">
        <v>3</v>
      </c>
      <c r="J297" s="55">
        <v>0.3</v>
      </c>
      <c r="K297" s="49"/>
      <c r="L297" s="56"/>
      <c r="M297" s="61">
        <v>6.0000000000000036</v>
      </c>
      <c r="N297" s="62">
        <v>8.0000000000000053</v>
      </c>
      <c r="O297" s="62">
        <v>6.0000000000000036</v>
      </c>
      <c r="P297" s="62">
        <v>8.0000000000000053</v>
      </c>
      <c r="Q297" s="62">
        <v>4.0000000000000027</v>
      </c>
      <c r="R297" s="62">
        <v>6.0000000000000036</v>
      </c>
      <c r="S297" s="62">
        <v>1</v>
      </c>
      <c r="T297" s="63">
        <v>6.0000000000000036</v>
      </c>
      <c r="U297" s="66" t="e">
        <f t="shared" ca="1" si="149"/>
        <v>#DIV/0!</v>
      </c>
      <c r="V297" s="66">
        <f t="shared" ca="1" si="150"/>
        <v>0.3</v>
      </c>
      <c r="W297" s="70">
        <f t="shared" si="151"/>
        <v>0.94736842105263208</v>
      </c>
      <c r="X297" s="70">
        <f t="shared" si="152"/>
        <v>0.84210526315789525</v>
      </c>
      <c r="Y297" s="70">
        <f t="shared" si="153"/>
        <v>0.84210526315789525</v>
      </c>
      <c r="Z297" s="70">
        <f t="shared" si="154"/>
        <v>1.4035087719298256</v>
      </c>
      <c r="AA297" s="70">
        <f t="shared" si="155"/>
        <v>0.3508771929824564</v>
      </c>
      <c r="AB297" s="70">
        <f t="shared" si="156"/>
        <v>0.73684210526315841</v>
      </c>
      <c r="AC297" s="70">
        <f t="shared" si="157"/>
        <v>0.10526315789473684</v>
      </c>
      <c r="AD297" s="71">
        <f t="shared" si="158"/>
        <v>0.63157894736842146</v>
      </c>
      <c r="AE297" s="72">
        <f t="shared" si="159"/>
        <v>0.7</v>
      </c>
      <c r="AF297" s="72">
        <f t="shared" ca="1" si="160"/>
        <v>0.7</v>
      </c>
      <c r="AG297" s="73">
        <f t="shared" ca="1" si="161"/>
        <v>0.69999999999999984</v>
      </c>
      <c r="AH297" s="456">
        <f t="shared" si="162"/>
        <v>5.8596491228070215</v>
      </c>
      <c r="AI297" s="467">
        <f t="shared" ca="1" si="163"/>
        <v>41.017543859649138</v>
      </c>
      <c r="AJ297" s="458" t="str">
        <f t="shared" ca="1" si="164"/>
        <v>Q4</v>
      </c>
      <c r="AK297" s="95" t="s">
        <v>374</v>
      </c>
      <c r="AL297" s="572"/>
      <c r="AM297" s="117"/>
      <c r="AN297" s="113"/>
      <c r="AO297" s="443">
        <v>130000</v>
      </c>
      <c r="AP297" s="113"/>
      <c r="AQ297" s="121"/>
      <c r="AR297" s="436"/>
      <c r="AS297" s="437"/>
      <c r="AT297" s="437">
        <f t="shared" si="166"/>
        <v>139259.24999999997</v>
      </c>
      <c r="AU297" s="437"/>
      <c r="AV297" s="437"/>
      <c r="AW297" s="94"/>
    </row>
    <row r="298" spans="1:49" ht="36" customHeight="1">
      <c r="A298" s="5">
        <v>352</v>
      </c>
      <c r="B298" s="625">
        <v>87</v>
      </c>
      <c r="C298" s="6" t="s">
        <v>9</v>
      </c>
      <c r="D298" s="371" t="s">
        <v>10</v>
      </c>
      <c r="E298" s="10" t="s">
        <v>1454</v>
      </c>
      <c r="F298" s="17" t="s">
        <v>282</v>
      </c>
      <c r="G298" s="132" t="s">
        <v>283</v>
      </c>
      <c r="H298" s="603">
        <v>150000</v>
      </c>
      <c r="I298" s="50">
        <v>4</v>
      </c>
      <c r="J298" s="55">
        <v>0.2</v>
      </c>
      <c r="K298" s="49"/>
      <c r="L298" s="56"/>
      <c r="M298" s="61">
        <v>6.0000000000000036</v>
      </c>
      <c r="N298" s="62">
        <v>8.0000000000000053</v>
      </c>
      <c r="O298" s="62">
        <v>5</v>
      </c>
      <c r="P298" s="62">
        <v>8.0000000000000053</v>
      </c>
      <c r="Q298" s="62">
        <v>5</v>
      </c>
      <c r="R298" s="62">
        <v>6.0000000000000036</v>
      </c>
      <c r="S298" s="62">
        <v>0</v>
      </c>
      <c r="T298" s="63">
        <v>10</v>
      </c>
      <c r="U298" s="66" t="e">
        <f t="shared" ca="1" si="149"/>
        <v>#DIV/0!</v>
      </c>
      <c r="V298" s="66">
        <f t="shared" ca="1" si="150"/>
        <v>0.2</v>
      </c>
      <c r="W298" s="70">
        <f t="shared" si="151"/>
        <v>0.94736842105263208</v>
      </c>
      <c r="X298" s="70">
        <f t="shared" si="152"/>
        <v>0.84210526315789525</v>
      </c>
      <c r="Y298" s="70">
        <f t="shared" si="153"/>
        <v>0.70175438596491224</v>
      </c>
      <c r="Z298" s="70">
        <f t="shared" si="154"/>
        <v>1.4035087719298256</v>
      </c>
      <c r="AA298" s="70">
        <f t="shared" si="155"/>
        <v>0.43859649122807015</v>
      </c>
      <c r="AB298" s="70">
        <f t="shared" si="156"/>
        <v>0.73684210526315841</v>
      </c>
      <c r="AC298" s="70">
        <f t="shared" si="157"/>
        <v>0</v>
      </c>
      <c r="AD298" s="71">
        <f t="shared" si="158"/>
        <v>1.0526315789473684</v>
      </c>
      <c r="AE298" s="72">
        <f t="shared" si="159"/>
        <v>0.6</v>
      </c>
      <c r="AF298" s="72">
        <f t="shared" ca="1" si="160"/>
        <v>0.8</v>
      </c>
      <c r="AG298" s="73">
        <f t="shared" ca="1" si="161"/>
        <v>0.66666666666666663</v>
      </c>
      <c r="AH298" s="456">
        <f t="shared" si="162"/>
        <v>6.1228070175438623</v>
      </c>
      <c r="AI298" s="467">
        <f t="shared" ca="1" si="163"/>
        <v>40.818713450292414</v>
      </c>
      <c r="AJ298" s="458" t="str">
        <f t="shared" ca="1" si="164"/>
        <v>Q3</v>
      </c>
      <c r="AK298" s="95" t="s">
        <v>374</v>
      </c>
      <c r="AL298" s="572"/>
      <c r="AM298" s="117"/>
      <c r="AN298" s="113"/>
      <c r="AO298" s="113">
        <v>150000</v>
      </c>
      <c r="AP298" s="113"/>
      <c r="AQ298" s="121"/>
      <c r="AR298" s="436"/>
      <c r="AS298" s="437"/>
      <c r="AT298" s="437">
        <f t="shared" si="166"/>
        <v>160683.74999999997</v>
      </c>
      <c r="AU298" s="437"/>
      <c r="AV298" s="437"/>
      <c r="AW298" s="94"/>
    </row>
    <row r="299" spans="1:49" ht="36" customHeight="1">
      <c r="A299" s="5"/>
      <c r="B299" s="625">
        <v>95</v>
      </c>
      <c r="C299" s="6" t="s">
        <v>14</v>
      </c>
      <c r="D299" s="371" t="s">
        <v>15</v>
      </c>
      <c r="E299" s="10" t="s">
        <v>1122</v>
      </c>
      <c r="F299" s="16" t="s">
        <v>1278</v>
      </c>
      <c r="G299" s="8"/>
      <c r="H299" s="678">
        <v>4018200</v>
      </c>
      <c r="I299" s="380">
        <v>3</v>
      </c>
      <c r="J299" s="377">
        <v>0.4</v>
      </c>
      <c r="K299" s="376"/>
      <c r="L299" s="378"/>
      <c r="M299" s="61">
        <v>6</v>
      </c>
      <c r="N299" s="62">
        <v>6</v>
      </c>
      <c r="O299" s="62">
        <v>6</v>
      </c>
      <c r="P299" s="62">
        <v>8</v>
      </c>
      <c r="Q299" s="62">
        <v>2</v>
      </c>
      <c r="R299" s="62">
        <v>8</v>
      </c>
      <c r="S299" s="62">
        <v>0</v>
      </c>
      <c r="T299" s="63">
        <v>10</v>
      </c>
      <c r="U299" s="66" t="e">
        <f t="shared" ca="1" si="149"/>
        <v>#DIV/0!</v>
      </c>
      <c r="V299" s="66">
        <f t="shared" ca="1" si="150"/>
        <v>0.4</v>
      </c>
      <c r="W299" s="70">
        <f t="shared" si="151"/>
        <v>0.94736842105263153</v>
      </c>
      <c r="X299" s="70">
        <f t="shared" si="152"/>
        <v>0.63157894736842102</v>
      </c>
      <c r="Y299" s="70">
        <f t="shared" si="153"/>
        <v>0.84210526315789469</v>
      </c>
      <c r="Z299" s="70">
        <f t="shared" si="154"/>
        <v>1.4035087719298245</v>
      </c>
      <c r="AA299" s="70">
        <f t="shared" si="155"/>
        <v>0.17543859649122806</v>
      </c>
      <c r="AB299" s="70">
        <f t="shared" si="156"/>
        <v>0.98245614035087714</v>
      </c>
      <c r="AC299" s="70">
        <f t="shared" si="157"/>
        <v>0</v>
      </c>
      <c r="AD299" s="71">
        <f t="shared" si="158"/>
        <v>1.0526315789473684</v>
      </c>
      <c r="AE299" s="72">
        <f t="shared" si="159"/>
        <v>0.7</v>
      </c>
      <c r="AF299" s="72">
        <f t="shared" ca="1" si="160"/>
        <v>0.6</v>
      </c>
      <c r="AG299" s="73">
        <f t="shared" ca="1" si="161"/>
        <v>0.66666666666666663</v>
      </c>
      <c r="AH299" s="456">
        <f t="shared" si="162"/>
        <v>6.0350877192982448</v>
      </c>
      <c r="AI299" s="467">
        <f t="shared" ca="1" si="163"/>
        <v>40.233918128654963</v>
      </c>
      <c r="AJ299" s="458" t="str">
        <f t="shared" ca="1" si="164"/>
        <v>Q3</v>
      </c>
      <c r="AK299" s="95" t="s">
        <v>374</v>
      </c>
      <c r="AL299" s="570"/>
      <c r="AM299" s="688"/>
      <c r="AN299" s="690"/>
      <c r="AO299" s="690"/>
      <c r="AP299" s="678">
        <v>4018200</v>
      </c>
      <c r="AQ299" s="690"/>
      <c r="AR299" s="439"/>
      <c r="AS299" s="439"/>
      <c r="AT299" s="439"/>
      <c r="AU299" s="439">
        <f>AP299*(1+Efactor)^3</f>
        <v>4455050.165324999</v>
      </c>
      <c r="AV299" s="439"/>
      <c r="AW299" s="94"/>
    </row>
    <row r="300" spans="1:49" ht="36" customHeight="1">
      <c r="A300" s="5">
        <v>316</v>
      </c>
      <c r="B300" s="625">
        <v>96</v>
      </c>
      <c r="C300" s="6" t="s">
        <v>17</v>
      </c>
      <c r="D300" s="371" t="s">
        <v>19</v>
      </c>
      <c r="E300" s="26" t="s">
        <v>1249</v>
      </c>
      <c r="F300" s="27" t="s">
        <v>1254</v>
      </c>
      <c r="G300" s="127"/>
      <c r="H300" s="600">
        <v>4505355</v>
      </c>
      <c r="I300" s="50">
        <v>4</v>
      </c>
      <c r="J300" s="55">
        <v>0.5</v>
      </c>
      <c r="K300" s="49"/>
      <c r="L300" s="56"/>
      <c r="M300" s="61">
        <v>8</v>
      </c>
      <c r="N300" s="62">
        <v>8</v>
      </c>
      <c r="O300" s="62">
        <v>8</v>
      </c>
      <c r="P300" s="62">
        <v>8</v>
      </c>
      <c r="Q300" s="62">
        <v>6</v>
      </c>
      <c r="R300" s="62">
        <v>8</v>
      </c>
      <c r="S300" s="62">
        <v>0</v>
      </c>
      <c r="T300" s="63">
        <v>9</v>
      </c>
      <c r="U300" s="66" t="e">
        <f t="shared" ca="1" si="149"/>
        <v>#DIV/0!</v>
      </c>
      <c r="V300" s="66">
        <f t="shared" ca="1" si="150"/>
        <v>0.5</v>
      </c>
      <c r="W300" s="70">
        <f t="shared" si="151"/>
        <v>1.263157894736842</v>
      </c>
      <c r="X300" s="70">
        <f t="shared" si="152"/>
        <v>0.84210526315789469</v>
      </c>
      <c r="Y300" s="70">
        <f t="shared" si="153"/>
        <v>1.1228070175438596</v>
      </c>
      <c r="Z300" s="70">
        <f t="shared" si="154"/>
        <v>1.4035087719298245</v>
      </c>
      <c r="AA300" s="70">
        <f t="shared" si="155"/>
        <v>0.52631578947368418</v>
      </c>
      <c r="AB300" s="70">
        <f t="shared" si="156"/>
        <v>0.98245614035087714</v>
      </c>
      <c r="AC300" s="70">
        <f t="shared" si="157"/>
        <v>0</v>
      </c>
      <c r="AD300" s="71">
        <f t="shared" si="158"/>
        <v>0.94736842105263153</v>
      </c>
      <c r="AE300" s="72">
        <f t="shared" si="159"/>
        <v>0.6</v>
      </c>
      <c r="AF300" s="72">
        <f t="shared" ca="1" si="160"/>
        <v>0.5</v>
      </c>
      <c r="AG300" s="73">
        <f t="shared" ca="1" si="161"/>
        <v>0.56666666666666665</v>
      </c>
      <c r="AH300" s="456">
        <f t="shared" si="162"/>
        <v>7.0877192982456148</v>
      </c>
      <c r="AI300" s="467">
        <f t="shared" ca="1" si="163"/>
        <v>40.163742690058484</v>
      </c>
      <c r="AJ300" s="458" t="str">
        <f t="shared" ca="1" si="164"/>
        <v>Q3</v>
      </c>
      <c r="AK300" s="95" t="s">
        <v>374</v>
      </c>
      <c r="AL300" s="572"/>
      <c r="AM300" s="117"/>
      <c r="AN300" s="113"/>
      <c r="AO300" s="113"/>
      <c r="AP300" s="113">
        <v>569250</v>
      </c>
      <c r="AQ300" s="121">
        <v>3936105</v>
      </c>
      <c r="AR300" s="436"/>
      <c r="AS300" s="437"/>
      <c r="AT300" s="437"/>
      <c r="AU300" s="437">
        <f>AP300*(1+Efactor)^3</f>
        <v>631137.65034374991</v>
      </c>
      <c r="AV300" s="437">
        <f>AQ300*(1+Efactor)^4</f>
        <v>4516771.0203750646</v>
      </c>
      <c r="AW300" s="94"/>
    </row>
    <row r="301" spans="1:49" ht="36" customHeight="1">
      <c r="A301" s="5">
        <v>353</v>
      </c>
      <c r="B301" s="625">
        <v>108</v>
      </c>
      <c r="C301" s="6" t="s">
        <v>9</v>
      </c>
      <c r="D301" s="371" t="s">
        <v>10</v>
      </c>
      <c r="E301" s="32" t="s">
        <v>341</v>
      </c>
      <c r="F301" s="28" t="s">
        <v>1455</v>
      </c>
      <c r="G301" s="23" t="s">
        <v>1104</v>
      </c>
      <c r="H301" s="604">
        <v>643000</v>
      </c>
      <c r="I301" s="50">
        <v>3</v>
      </c>
      <c r="J301" s="55">
        <v>0.2</v>
      </c>
      <c r="K301" s="49"/>
      <c r="L301" s="56"/>
      <c r="M301" s="61">
        <v>4.0000000000000027</v>
      </c>
      <c r="N301" s="62">
        <v>6.0000000000000036</v>
      </c>
      <c r="O301" s="62">
        <v>4.0000000000000027</v>
      </c>
      <c r="P301" s="62">
        <v>6.0000000000000036</v>
      </c>
      <c r="Q301" s="62">
        <v>7</v>
      </c>
      <c r="R301" s="62">
        <v>6.0000000000000036</v>
      </c>
      <c r="S301" s="62">
        <v>0</v>
      </c>
      <c r="T301" s="63">
        <v>9</v>
      </c>
      <c r="U301" s="66" t="e">
        <f t="shared" ca="1" si="149"/>
        <v>#DIV/0!</v>
      </c>
      <c r="V301" s="66">
        <f t="shared" ca="1" si="150"/>
        <v>0.2</v>
      </c>
      <c r="W301" s="70">
        <f t="shared" si="151"/>
        <v>0.63157894736842146</v>
      </c>
      <c r="X301" s="70">
        <f t="shared" si="152"/>
        <v>0.63157894736842146</v>
      </c>
      <c r="Y301" s="70">
        <f t="shared" si="153"/>
        <v>0.56140350877193024</v>
      </c>
      <c r="Z301" s="70">
        <f t="shared" si="154"/>
        <v>1.052631578947369</v>
      </c>
      <c r="AA301" s="70">
        <f t="shared" si="155"/>
        <v>0.61403508771929827</v>
      </c>
      <c r="AB301" s="70">
        <f t="shared" si="156"/>
        <v>0.73684210526315841</v>
      </c>
      <c r="AC301" s="70">
        <f t="shared" si="157"/>
        <v>0</v>
      </c>
      <c r="AD301" s="71">
        <f t="shared" si="158"/>
        <v>0.94736842105263153</v>
      </c>
      <c r="AE301" s="72">
        <f t="shared" si="159"/>
        <v>0.7</v>
      </c>
      <c r="AF301" s="72">
        <f t="shared" ca="1" si="160"/>
        <v>0.8</v>
      </c>
      <c r="AG301" s="73">
        <f t="shared" ca="1" si="161"/>
        <v>0.73333333333333339</v>
      </c>
      <c r="AH301" s="456">
        <f t="shared" si="162"/>
        <v>5.1754385964912313</v>
      </c>
      <c r="AI301" s="467">
        <f t="shared" ca="1" si="163"/>
        <v>37.953216374269033</v>
      </c>
      <c r="AJ301" s="458" t="str">
        <f t="shared" ca="1" si="164"/>
        <v>Q4</v>
      </c>
      <c r="AK301" s="95" t="s">
        <v>374</v>
      </c>
      <c r="AL301" s="572"/>
      <c r="AM301" s="117"/>
      <c r="AN301" s="113"/>
      <c r="AO301" s="113"/>
      <c r="AP301" s="113">
        <v>643000</v>
      </c>
      <c r="AQ301" s="121"/>
      <c r="AR301" s="436"/>
      <c r="AS301" s="437"/>
      <c r="AT301" s="437"/>
      <c r="AU301" s="437">
        <f>AP301*(1+Efactor)^3</f>
        <v>712905.59362499986</v>
      </c>
      <c r="AV301" s="437"/>
      <c r="AW301" s="94"/>
    </row>
    <row r="302" spans="1:49" ht="36" customHeight="1">
      <c r="A302" s="5">
        <v>137</v>
      </c>
      <c r="B302" s="625">
        <v>111</v>
      </c>
      <c r="C302" s="6" t="s">
        <v>14</v>
      </c>
      <c r="D302" s="371" t="s">
        <v>418</v>
      </c>
      <c r="E302" s="10" t="s">
        <v>1434</v>
      </c>
      <c r="F302" s="17" t="s">
        <v>1439</v>
      </c>
      <c r="G302" s="17" t="s">
        <v>262</v>
      </c>
      <c r="H302" s="603">
        <v>130000</v>
      </c>
      <c r="I302" s="50">
        <v>4</v>
      </c>
      <c r="J302" s="55">
        <v>0.3</v>
      </c>
      <c r="K302" s="49"/>
      <c r="L302" s="56"/>
      <c r="M302" s="61">
        <v>6.0000000000000036</v>
      </c>
      <c r="N302" s="62">
        <v>8.0000000000000053</v>
      </c>
      <c r="O302" s="62">
        <v>6.0000000000000036</v>
      </c>
      <c r="P302" s="62">
        <v>8.0000000000000053</v>
      </c>
      <c r="Q302" s="62">
        <v>4.0000000000000027</v>
      </c>
      <c r="R302" s="62">
        <v>6.0000000000000036</v>
      </c>
      <c r="S302" s="62">
        <v>2</v>
      </c>
      <c r="T302" s="63">
        <v>6.0000000000000036</v>
      </c>
      <c r="U302" s="66" t="e">
        <f t="shared" ca="1" si="149"/>
        <v>#DIV/0!</v>
      </c>
      <c r="V302" s="66">
        <f t="shared" ca="1" si="150"/>
        <v>0.3</v>
      </c>
      <c r="W302" s="70">
        <f t="shared" si="151"/>
        <v>0.94736842105263208</v>
      </c>
      <c r="X302" s="70">
        <f t="shared" si="152"/>
        <v>0.84210526315789525</v>
      </c>
      <c r="Y302" s="70">
        <f t="shared" si="153"/>
        <v>0.84210526315789525</v>
      </c>
      <c r="Z302" s="70">
        <f t="shared" si="154"/>
        <v>1.4035087719298256</v>
      </c>
      <c r="AA302" s="70">
        <f t="shared" si="155"/>
        <v>0.3508771929824564</v>
      </c>
      <c r="AB302" s="70">
        <f t="shared" si="156"/>
        <v>0.73684210526315841</v>
      </c>
      <c r="AC302" s="70">
        <f t="shared" si="157"/>
        <v>0.21052631578947367</v>
      </c>
      <c r="AD302" s="71">
        <f t="shared" si="158"/>
        <v>0.63157894736842146</v>
      </c>
      <c r="AE302" s="72">
        <f t="shared" si="159"/>
        <v>0.6</v>
      </c>
      <c r="AF302" s="72">
        <f t="shared" ca="1" si="160"/>
        <v>0.7</v>
      </c>
      <c r="AG302" s="73">
        <f t="shared" ca="1" si="161"/>
        <v>0.6333333333333333</v>
      </c>
      <c r="AH302" s="456">
        <f t="shared" si="162"/>
        <v>5.9649122807017578</v>
      </c>
      <c r="AI302" s="467">
        <f t="shared" ca="1" si="163"/>
        <v>37.7777777777778</v>
      </c>
      <c r="AJ302" s="458" t="str">
        <f t="shared" ca="1" si="164"/>
        <v>Q4</v>
      </c>
      <c r="AK302" s="95" t="s">
        <v>374</v>
      </c>
      <c r="AL302" s="572"/>
      <c r="AM302" s="117"/>
      <c r="AN302" s="113"/>
      <c r="AO302" s="113"/>
      <c r="AP302" s="443">
        <v>130000</v>
      </c>
      <c r="AQ302" s="121"/>
      <c r="AR302" s="436"/>
      <c r="AS302" s="437"/>
      <c r="AT302" s="437"/>
      <c r="AU302" s="437">
        <f>AP302*(1+Efactor)^3</f>
        <v>144133.32374999995</v>
      </c>
      <c r="AV302" s="437"/>
      <c r="AW302" s="94"/>
    </row>
    <row r="303" spans="1:49" ht="36" customHeight="1">
      <c r="A303" s="5">
        <v>317</v>
      </c>
      <c r="B303" s="625">
        <v>112</v>
      </c>
      <c r="C303" s="6" t="s">
        <v>14</v>
      </c>
      <c r="D303" s="371" t="s">
        <v>418</v>
      </c>
      <c r="E303" s="10" t="s">
        <v>1261</v>
      </c>
      <c r="F303" s="11" t="s">
        <v>1441</v>
      </c>
      <c r="G303" s="17" t="s">
        <v>262</v>
      </c>
      <c r="H303" s="603">
        <v>120000</v>
      </c>
      <c r="I303" s="50">
        <v>4</v>
      </c>
      <c r="J303" s="55">
        <v>0.3</v>
      </c>
      <c r="K303" s="49"/>
      <c r="L303" s="56"/>
      <c r="M303" s="61">
        <v>6.0000000000000036</v>
      </c>
      <c r="N303" s="62">
        <v>8.0000000000000053</v>
      </c>
      <c r="O303" s="62">
        <v>6.0000000000000036</v>
      </c>
      <c r="P303" s="62">
        <v>8.0000000000000053</v>
      </c>
      <c r="Q303" s="62">
        <v>4.0000000000000027</v>
      </c>
      <c r="R303" s="62">
        <v>6.0000000000000036</v>
      </c>
      <c r="S303" s="62">
        <v>2</v>
      </c>
      <c r="T303" s="63">
        <v>6.0000000000000036</v>
      </c>
      <c r="U303" s="66" t="e">
        <f t="shared" ca="1" si="149"/>
        <v>#DIV/0!</v>
      </c>
      <c r="V303" s="66">
        <f t="shared" ca="1" si="150"/>
        <v>0.3</v>
      </c>
      <c r="W303" s="70">
        <f t="shared" si="151"/>
        <v>0.94736842105263208</v>
      </c>
      <c r="X303" s="70">
        <f t="shared" si="152"/>
        <v>0.84210526315789525</v>
      </c>
      <c r="Y303" s="70">
        <f t="shared" si="153"/>
        <v>0.84210526315789525</v>
      </c>
      <c r="Z303" s="70">
        <f t="shared" si="154"/>
        <v>1.4035087719298256</v>
      </c>
      <c r="AA303" s="70">
        <f t="shared" si="155"/>
        <v>0.3508771929824564</v>
      </c>
      <c r="AB303" s="70">
        <f t="shared" si="156"/>
        <v>0.73684210526315841</v>
      </c>
      <c r="AC303" s="70">
        <f t="shared" si="157"/>
        <v>0.21052631578947367</v>
      </c>
      <c r="AD303" s="71">
        <f t="shared" si="158"/>
        <v>0.63157894736842146</v>
      </c>
      <c r="AE303" s="72">
        <f t="shared" si="159"/>
        <v>0.6</v>
      </c>
      <c r="AF303" s="72">
        <f t="shared" ca="1" si="160"/>
        <v>0.7</v>
      </c>
      <c r="AG303" s="73">
        <f t="shared" ca="1" si="161"/>
        <v>0.6333333333333333</v>
      </c>
      <c r="AH303" s="456">
        <f t="shared" si="162"/>
        <v>5.9649122807017578</v>
      </c>
      <c r="AI303" s="467">
        <f t="shared" ca="1" si="163"/>
        <v>37.7777777777778</v>
      </c>
      <c r="AJ303" s="458" t="str">
        <f t="shared" ca="1" si="164"/>
        <v>Q4</v>
      </c>
      <c r="AK303" s="95" t="s">
        <v>374</v>
      </c>
      <c r="AL303" s="111"/>
      <c r="AM303" s="117"/>
      <c r="AN303" s="113"/>
      <c r="AO303" s="113"/>
      <c r="AP303" s="113">
        <v>120000</v>
      </c>
      <c r="AQ303" s="121"/>
      <c r="AR303" s="436"/>
      <c r="AS303" s="437"/>
      <c r="AT303" s="437"/>
      <c r="AU303" s="437">
        <f>AP303*(1+Efactor)^3</f>
        <v>133046.14499999996</v>
      </c>
      <c r="AV303" s="437"/>
      <c r="AW303" s="94"/>
    </row>
    <row r="304" spans="1:49" ht="36" customHeight="1">
      <c r="A304" s="5">
        <v>375</v>
      </c>
      <c r="B304" s="625">
        <v>116</v>
      </c>
      <c r="C304" s="6" t="s">
        <v>17</v>
      </c>
      <c r="D304" s="371" t="s">
        <v>19</v>
      </c>
      <c r="E304" s="114" t="s">
        <v>1446</v>
      </c>
      <c r="F304" s="25" t="s">
        <v>1450</v>
      </c>
      <c r="G304" s="25" t="s">
        <v>1101</v>
      </c>
      <c r="H304" s="603">
        <v>100000</v>
      </c>
      <c r="I304" s="50">
        <v>4</v>
      </c>
      <c r="J304" s="55">
        <v>0.3</v>
      </c>
      <c r="K304" s="49"/>
      <c r="L304" s="56"/>
      <c r="M304" s="61">
        <v>6.0000000000000036</v>
      </c>
      <c r="N304" s="62">
        <v>8.0000000000000053</v>
      </c>
      <c r="O304" s="62">
        <v>5</v>
      </c>
      <c r="P304" s="62">
        <v>8.0000000000000053</v>
      </c>
      <c r="Q304" s="62">
        <v>4.0000000000000027</v>
      </c>
      <c r="R304" s="62">
        <v>6.0000000000000036</v>
      </c>
      <c r="S304" s="62">
        <v>1</v>
      </c>
      <c r="T304" s="63">
        <v>8</v>
      </c>
      <c r="U304" s="66" t="e">
        <f t="shared" ca="1" si="149"/>
        <v>#DIV/0!</v>
      </c>
      <c r="V304" s="66">
        <f t="shared" ca="1" si="150"/>
        <v>0.3</v>
      </c>
      <c r="W304" s="70">
        <f t="shared" si="151"/>
        <v>0.94736842105263208</v>
      </c>
      <c r="X304" s="70">
        <f t="shared" si="152"/>
        <v>0.84210526315789525</v>
      </c>
      <c r="Y304" s="70">
        <f t="shared" si="153"/>
        <v>0.70175438596491224</v>
      </c>
      <c r="Z304" s="70">
        <f t="shared" si="154"/>
        <v>1.4035087719298256</v>
      </c>
      <c r="AA304" s="70">
        <f t="shared" si="155"/>
        <v>0.3508771929824564</v>
      </c>
      <c r="AB304" s="70">
        <f t="shared" si="156"/>
        <v>0.73684210526315841</v>
      </c>
      <c r="AC304" s="70">
        <f t="shared" si="157"/>
        <v>0.10526315789473684</v>
      </c>
      <c r="AD304" s="71">
        <f t="shared" si="158"/>
        <v>0.84210526315789469</v>
      </c>
      <c r="AE304" s="72">
        <f t="shared" si="159"/>
        <v>0.6</v>
      </c>
      <c r="AF304" s="72">
        <f t="shared" ca="1" si="160"/>
        <v>0.7</v>
      </c>
      <c r="AG304" s="73">
        <f t="shared" ca="1" si="161"/>
        <v>0.6333333333333333</v>
      </c>
      <c r="AH304" s="456">
        <f t="shared" si="162"/>
        <v>5.9298245614035121</v>
      </c>
      <c r="AI304" s="467">
        <f t="shared" ca="1" si="163"/>
        <v>37.555555555555571</v>
      </c>
      <c r="AJ304" s="458" t="str">
        <f t="shared" ca="1" si="164"/>
        <v>Q4</v>
      </c>
      <c r="AK304" s="95" t="s">
        <v>374</v>
      </c>
      <c r="AL304" s="573"/>
      <c r="AM304" s="117"/>
      <c r="AN304" s="113"/>
      <c r="AO304" s="123"/>
      <c r="AP304" s="113"/>
      <c r="AQ304" s="121">
        <v>100000</v>
      </c>
      <c r="AR304" s="438"/>
      <c r="AS304" s="437"/>
      <c r="AT304" s="437"/>
      <c r="AU304" s="437"/>
      <c r="AV304" s="437">
        <f t="shared" ref="AV304:AV309" si="167">AQ304*(1+Efactor)^4</f>
        <v>114752.30006249997</v>
      </c>
      <c r="AW304" s="94"/>
    </row>
    <row r="305" spans="1:49" ht="36" customHeight="1">
      <c r="A305" s="5">
        <v>380</v>
      </c>
      <c r="B305" s="625">
        <v>120</v>
      </c>
      <c r="C305" s="6" t="s">
        <v>14</v>
      </c>
      <c r="D305" s="371" t="s">
        <v>15</v>
      </c>
      <c r="E305" s="10" t="s">
        <v>1122</v>
      </c>
      <c r="F305" s="16" t="s">
        <v>1278</v>
      </c>
      <c r="G305" s="8"/>
      <c r="H305" s="615">
        <v>4074600</v>
      </c>
      <c r="I305" s="50">
        <v>4</v>
      </c>
      <c r="J305" s="55">
        <v>0.3</v>
      </c>
      <c r="K305" s="49"/>
      <c r="L305" s="56"/>
      <c r="M305" s="61">
        <v>6</v>
      </c>
      <c r="N305" s="62">
        <v>6</v>
      </c>
      <c r="O305" s="62">
        <v>5</v>
      </c>
      <c r="P305" s="62">
        <v>8</v>
      </c>
      <c r="Q305" s="62">
        <v>2</v>
      </c>
      <c r="R305" s="62">
        <v>8</v>
      </c>
      <c r="S305" s="62">
        <v>0</v>
      </c>
      <c r="T305" s="63">
        <v>10</v>
      </c>
      <c r="U305" s="66" t="e">
        <f t="shared" ca="1" si="149"/>
        <v>#DIV/0!</v>
      </c>
      <c r="V305" s="66">
        <f t="shared" ca="1" si="150"/>
        <v>0.3</v>
      </c>
      <c r="W305" s="70">
        <f t="shared" si="151"/>
        <v>0.94736842105263153</v>
      </c>
      <c r="X305" s="70">
        <f t="shared" si="152"/>
        <v>0.63157894736842102</v>
      </c>
      <c r="Y305" s="70">
        <f t="shared" si="153"/>
        <v>0.70175438596491224</v>
      </c>
      <c r="Z305" s="70">
        <f t="shared" si="154"/>
        <v>1.4035087719298245</v>
      </c>
      <c r="AA305" s="70">
        <f t="shared" si="155"/>
        <v>0.17543859649122806</v>
      </c>
      <c r="AB305" s="70">
        <f t="shared" si="156"/>
        <v>0.98245614035087714</v>
      </c>
      <c r="AC305" s="70">
        <f t="shared" si="157"/>
        <v>0</v>
      </c>
      <c r="AD305" s="71">
        <f t="shared" si="158"/>
        <v>1.0526315789473684</v>
      </c>
      <c r="AE305" s="72">
        <f t="shared" si="159"/>
        <v>0.6</v>
      </c>
      <c r="AF305" s="72">
        <f t="shared" ca="1" si="160"/>
        <v>0.7</v>
      </c>
      <c r="AG305" s="73">
        <f t="shared" ca="1" si="161"/>
        <v>0.6333333333333333</v>
      </c>
      <c r="AH305" s="456">
        <f t="shared" si="162"/>
        <v>5.8947368421052628</v>
      </c>
      <c r="AI305" s="467">
        <f t="shared" ca="1" si="163"/>
        <v>37.333333333333329</v>
      </c>
      <c r="AJ305" s="458" t="str">
        <f t="shared" ca="1" si="164"/>
        <v>Q4</v>
      </c>
      <c r="AK305" s="95" t="s">
        <v>374</v>
      </c>
      <c r="AL305" s="571"/>
      <c r="AM305" s="107"/>
      <c r="AN305" s="105"/>
      <c r="AO305" s="688"/>
      <c r="AP305" s="105"/>
      <c r="AQ305" s="121">
        <v>4074600</v>
      </c>
      <c r="AR305" s="438"/>
      <c r="AS305" s="437"/>
      <c r="AT305" s="437"/>
      <c r="AU305" s="437"/>
      <c r="AV305" s="437">
        <f t="shared" si="167"/>
        <v>4675697.2183466237</v>
      </c>
      <c r="AW305" s="94"/>
    </row>
    <row r="306" spans="1:49" ht="36" customHeight="1">
      <c r="A306" s="5">
        <v>142</v>
      </c>
      <c r="B306" s="625">
        <v>122</v>
      </c>
      <c r="C306" s="6" t="s">
        <v>14</v>
      </c>
      <c r="D306" s="371" t="s">
        <v>15</v>
      </c>
      <c r="E306" s="7" t="s">
        <v>1129</v>
      </c>
      <c r="F306" s="8" t="s">
        <v>1130</v>
      </c>
      <c r="G306" s="8"/>
      <c r="H306" s="600">
        <v>600000</v>
      </c>
      <c r="I306" s="49">
        <v>2</v>
      </c>
      <c r="J306" s="55">
        <v>0.2</v>
      </c>
      <c r="K306" s="49"/>
      <c r="L306" s="56"/>
      <c r="M306" s="61">
        <v>5</v>
      </c>
      <c r="N306" s="62">
        <v>4.0000000000000027</v>
      </c>
      <c r="O306" s="62">
        <v>4.0000000000000027</v>
      </c>
      <c r="P306" s="62">
        <v>6.0000000000000036</v>
      </c>
      <c r="Q306" s="62">
        <v>4.0000000000000027</v>
      </c>
      <c r="R306" s="62">
        <v>6</v>
      </c>
      <c r="S306" s="62">
        <v>0</v>
      </c>
      <c r="T306" s="63">
        <v>7</v>
      </c>
      <c r="U306" s="66" t="e">
        <f t="shared" ca="1" si="149"/>
        <v>#DIV/0!</v>
      </c>
      <c r="V306" s="66">
        <f t="shared" ca="1" si="150"/>
        <v>0.2</v>
      </c>
      <c r="W306" s="70">
        <f t="shared" si="151"/>
        <v>0.78947368421052633</v>
      </c>
      <c r="X306" s="70">
        <f t="shared" si="152"/>
        <v>0.42105263157894762</v>
      </c>
      <c r="Y306" s="70">
        <f t="shared" si="153"/>
        <v>0.56140350877193024</v>
      </c>
      <c r="Z306" s="70">
        <f t="shared" si="154"/>
        <v>1.052631578947369</v>
      </c>
      <c r="AA306" s="70">
        <f t="shared" si="155"/>
        <v>0.3508771929824564</v>
      </c>
      <c r="AB306" s="70">
        <f t="shared" si="156"/>
        <v>0.73684210526315785</v>
      </c>
      <c r="AC306" s="70">
        <f t="shared" si="157"/>
        <v>0</v>
      </c>
      <c r="AD306" s="71">
        <f t="shared" si="158"/>
        <v>0.73684210526315785</v>
      </c>
      <c r="AE306" s="72">
        <f t="shared" si="159"/>
        <v>0.8</v>
      </c>
      <c r="AF306" s="72">
        <f t="shared" ca="1" si="160"/>
        <v>0.8</v>
      </c>
      <c r="AG306" s="73">
        <f t="shared" ca="1" si="161"/>
        <v>0.80000000000000016</v>
      </c>
      <c r="AH306" s="456">
        <f t="shared" si="162"/>
        <v>4.6491228070175454</v>
      </c>
      <c r="AI306" s="467">
        <f t="shared" ca="1" si="163"/>
        <v>37.192982456140371</v>
      </c>
      <c r="AJ306" s="458" t="str">
        <f t="shared" ca="1" si="164"/>
        <v>Q2</v>
      </c>
      <c r="AK306" s="95" t="s">
        <v>374</v>
      </c>
      <c r="AL306" s="571"/>
      <c r="AM306" s="117"/>
      <c r="AN306" s="113"/>
      <c r="AO306" s="113"/>
      <c r="AP306" s="113"/>
      <c r="AQ306" s="121">
        <v>600000</v>
      </c>
      <c r="AR306" s="436"/>
      <c r="AS306" s="437"/>
      <c r="AT306" s="437"/>
      <c r="AU306" s="437"/>
      <c r="AV306" s="437">
        <f t="shared" si="167"/>
        <v>688513.80037499976</v>
      </c>
      <c r="AW306" s="94"/>
    </row>
    <row r="307" spans="1:49" ht="36" customHeight="1">
      <c r="A307" s="5">
        <v>372</v>
      </c>
      <c r="B307" s="625">
        <v>124</v>
      </c>
      <c r="C307" s="6" t="s">
        <v>14</v>
      </c>
      <c r="D307" s="371" t="s">
        <v>418</v>
      </c>
      <c r="E307" s="10" t="s">
        <v>1435</v>
      </c>
      <c r="F307" s="17" t="s">
        <v>1440</v>
      </c>
      <c r="G307" s="17"/>
      <c r="H307" s="603">
        <v>130000</v>
      </c>
      <c r="I307" s="50">
        <v>4</v>
      </c>
      <c r="J307" s="55">
        <v>0.3</v>
      </c>
      <c r="K307" s="49"/>
      <c r="L307" s="56"/>
      <c r="M307" s="61">
        <v>6</v>
      </c>
      <c r="N307" s="62">
        <v>8</v>
      </c>
      <c r="O307" s="62">
        <v>6</v>
      </c>
      <c r="P307" s="62">
        <v>8</v>
      </c>
      <c r="Q307" s="62">
        <v>4</v>
      </c>
      <c r="R307" s="62">
        <v>6</v>
      </c>
      <c r="S307" s="62">
        <v>1</v>
      </c>
      <c r="T307" s="63">
        <v>6</v>
      </c>
      <c r="U307" s="66" t="e">
        <f t="shared" ca="1" si="149"/>
        <v>#DIV/0!</v>
      </c>
      <c r="V307" s="66">
        <f t="shared" ca="1" si="150"/>
        <v>0.3</v>
      </c>
      <c r="W307" s="70">
        <f t="shared" si="151"/>
        <v>0.94736842105263153</v>
      </c>
      <c r="X307" s="70">
        <f t="shared" si="152"/>
        <v>0.84210526315789469</v>
      </c>
      <c r="Y307" s="70">
        <f t="shared" si="153"/>
        <v>0.84210526315789469</v>
      </c>
      <c r="Z307" s="70">
        <f t="shared" si="154"/>
        <v>1.4035087719298245</v>
      </c>
      <c r="AA307" s="70">
        <f t="shared" si="155"/>
        <v>0.35087719298245612</v>
      </c>
      <c r="AB307" s="70">
        <f t="shared" si="156"/>
        <v>0.73684210526315785</v>
      </c>
      <c r="AC307" s="70">
        <f t="shared" si="157"/>
        <v>0.10526315789473684</v>
      </c>
      <c r="AD307" s="71">
        <f t="shared" si="158"/>
        <v>0.63157894736842102</v>
      </c>
      <c r="AE307" s="72">
        <f t="shared" si="159"/>
        <v>0.6</v>
      </c>
      <c r="AF307" s="72">
        <f t="shared" ca="1" si="160"/>
        <v>0.7</v>
      </c>
      <c r="AG307" s="73">
        <f t="shared" ca="1" si="161"/>
        <v>0.6333333333333333</v>
      </c>
      <c r="AH307" s="456">
        <f t="shared" si="162"/>
        <v>5.8596491228070171</v>
      </c>
      <c r="AI307" s="467">
        <f t="shared" ca="1" si="163"/>
        <v>37.111111111111107</v>
      </c>
      <c r="AJ307" s="458" t="str">
        <f t="shared" ca="1" si="164"/>
        <v>Q4</v>
      </c>
      <c r="AK307" s="95" t="s">
        <v>374</v>
      </c>
      <c r="AL307" s="572"/>
      <c r="AM307" s="117"/>
      <c r="AN307" s="113"/>
      <c r="AO307" s="113"/>
      <c r="AP307" s="443"/>
      <c r="AQ307" s="588">
        <v>130000</v>
      </c>
      <c r="AR307" s="436"/>
      <c r="AS307" s="437"/>
      <c r="AT307" s="437"/>
      <c r="AU307" s="437"/>
      <c r="AV307" s="437">
        <f t="shared" si="167"/>
        <v>149177.99008124997</v>
      </c>
      <c r="AW307" s="94"/>
    </row>
    <row r="308" spans="1:49" ht="36" customHeight="1">
      <c r="A308" s="5"/>
      <c r="B308" s="625">
        <v>134</v>
      </c>
      <c r="C308" s="6" t="s">
        <v>9</v>
      </c>
      <c r="D308" s="371" t="s">
        <v>10</v>
      </c>
      <c r="E308" s="10" t="s">
        <v>275</v>
      </c>
      <c r="F308" s="11" t="s">
        <v>1456</v>
      </c>
      <c r="G308" s="116" t="s">
        <v>276</v>
      </c>
      <c r="H308" s="603">
        <v>130000</v>
      </c>
      <c r="I308" s="50">
        <v>3</v>
      </c>
      <c r="J308" s="55">
        <v>0.1</v>
      </c>
      <c r="K308" s="49"/>
      <c r="L308" s="56"/>
      <c r="M308" s="61">
        <v>4.0000000000000027</v>
      </c>
      <c r="N308" s="62">
        <v>6.0000000000000036</v>
      </c>
      <c r="O308" s="62">
        <v>6.0000000000000036</v>
      </c>
      <c r="P308" s="62">
        <v>4.0000000000000027</v>
      </c>
      <c r="Q308" s="62">
        <v>6</v>
      </c>
      <c r="R308" s="62">
        <v>6.0000000000000036</v>
      </c>
      <c r="S308" s="62">
        <v>0</v>
      </c>
      <c r="T308" s="63">
        <v>7</v>
      </c>
      <c r="U308" s="66" t="e">
        <f t="shared" ca="1" si="149"/>
        <v>#DIV/0!</v>
      </c>
      <c r="V308" s="66">
        <f t="shared" ca="1" si="150"/>
        <v>0.1</v>
      </c>
      <c r="W308" s="70">
        <f t="shared" si="151"/>
        <v>0.63157894736842146</v>
      </c>
      <c r="X308" s="70">
        <f t="shared" si="152"/>
        <v>0.63157894736842146</v>
      </c>
      <c r="Y308" s="70">
        <f t="shared" si="153"/>
        <v>0.84210526315789525</v>
      </c>
      <c r="Z308" s="70">
        <f t="shared" si="154"/>
        <v>0.7017543859649128</v>
      </c>
      <c r="AA308" s="70">
        <f t="shared" si="155"/>
        <v>0.52631578947368418</v>
      </c>
      <c r="AB308" s="70">
        <f t="shared" si="156"/>
        <v>0.73684210526315841</v>
      </c>
      <c r="AC308" s="70">
        <f t="shared" si="157"/>
        <v>0</v>
      </c>
      <c r="AD308" s="71">
        <f t="shared" si="158"/>
        <v>0.73684210526315785</v>
      </c>
      <c r="AE308" s="72">
        <f t="shared" si="159"/>
        <v>0.7</v>
      </c>
      <c r="AF308" s="72">
        <f t="shared" ca="1" si="160"/>
        <v>0.9</v>
      </c>
      <c r="AG308" s="73">
        <f t="shared" ca="1" si="161"/>
        <v>0.76666666666666661</v>
      </c>
      <c r="AH308" s="456">
        <f t="shared" si="162"/>
        <v>4.8070175438596507</v>
      </c>
      <c r="AI308" s="467">
        <f t="shared" ca="1" si="163"/>
        <v>36.853801169590653</v>
      </c>
      <c r="AJ308" s="458" t="str">
        <f t="shared" ca="1" si="164"/>
        <v>Q2</v>
      </c>
      <c r="AK308" s="95" t="s">
        <v>374</v>
      </c>
      <c r="AL308" s="111"/>
      <c r="AM308" s="117"/>
      <c r="AN308" s="113"/>
      <c r="AO308" s="113"/>
      <c r="AP308" s="113"/>
      <c r="AQ308" s="121">
        <v>130000</v>
      </c>
      <c r="AR308" s="438"/>
      <c r="AS308" s="437"/>
      <c r="AT308" s="437"/>
      <c r="AU308" s="437"/>
      <c r="AV308" s="437">
        <f t="shared" si="167"/>
        <v>149177.99008124997</v>
      </c>
      <c r="AW308" s="94"/>
    </row>
    <row r="309" spans="1:49" ht="36" customHeight="1">
      <c r="A309" s="5">
        <v>345</v>
      </c>
      <c r="B309" s="625">
        <v>136</v>
      </c>
      <c r="C309" s="6" t="s">
        <v>17</v>
      </c>
      <c r="D309" s="371" t="s">
        <v>418</v>
      </c>
      <c r="E309" s="10" t="s">
        <v>1260</v>
      </c>
      <c r="F309" s="17" t="s">
        <v>1431</v>
      </c>
      <c r="G309" s="131" t="s">
        <v>196</v>
      </c>
      <c r="H309" s="603">
        <v>300000</v>
      </c>
      <c r="I309" s="50">
        <v>3</v>
      </c>
      <c r="J309" s="55">
        <v>0.2</v>
      </c>
      <c r="K309" s="49"/>
      <c r="L309" s="56"/>
      <c r="M309" s="61">
        <v>6.0000000000000036</v>
      </c>
      <c r="N309" s="62">
        <v>8</v>
      </c>
      <c r="O309" s="62">
        <v>5</v>
      </c>
      <c r="P309" s="62">
        <v>4</v>
      </c>
      <c r="Q309" s="62">
        <v>4.0000000000000027</v>
      </c>
      <c r="R309" s="62">
        <v>5</v>
      </c>
      <c r="S309" s="62">
        <v>0</v>
      </c>
      <c r="T309" s="63">
        <v>8</v>
      </c>
      <c r="U309" s="66" t="e">
        <f t="shared" ca="1" si="149"/>
        <v>#DIV/0!</v>
      </c>
      <c r="V309" s="66">
        <f t="shared" ca="1" si="150"/>
        <v>0.2</v>
      </c>
      <c r="W309" s="70">
        <f t="shared" si="151"/>
        <v>0.94736842105263208</v>
      </c>
      <c r="X309" s="70">
        <f t="shared" si="152"/>
        <v>0.84210526315789469</v>
      </c>
      <c r="Y309" s="70">
        <f t="shared" si="153"/>
        <v>0.70175438596491224</v>
      </c>
      <c r="Z309" s="70">
        <f t="shared" si="154"/>
        <v>0.70175438596491224</v>
      </c>
      <c r="AA309" s="70">
        <f t="shared" si="155"/>
        <v>0.3508771929824564</v>
      </c>
      <c r="AB309" s="70">
        <f t="shared" si="156"/>
        <v>0.61403508771929827</v>
      </c>
      <c r="AC309" s="70">
        <f t="shared" si="157"/>
        <v>0</v>
      </c>
      <c r="AD309" s="71">
        <f t="shared" si="158"/>
        <v>0.84210526315789469</v>
      </c>
      <c r="AE309" s="72">
        <f t="shared" si="159"/>
        <v>0.7</v>
      </c>
      <c r="AF309" s="72">
        <f t="shared" ca="1" si="160"/>
        <v>0.8</v>
      </c>
      <c r="AG309" s="73">
        <f t="shared" ca="1" si="161"/>
        <v>0.73333333333333339</v>
      </c>
      <c r="AH309" s="456">
        <f t="shared" si="162"/>
        <v>5.0000000000000009</v>
      </c>
      <c r="AI309" s="467">
        <f t="shared" ca="1" si="163"/>
        <v>36.666666666666671</v>
      </c>
      <c r="AJ309" s="458" t="str">
        <f t="shared" ca="1" si="164"/>
        <v>Q4</v>
      </c>
      <c r="AK309" s="95" t="s">
        <v>374</v>
      </c>
      <c r="AL309" s="573"/>
      <c r="AM309" s="117"/>
      <c r="AN309" s="113"/>
      <c r="AO309" s="113"/>
      <c r="AP309" s="113"/>
      <c r="AQ309" s="121">
        <v>300000</v>
      </c>
      <c r="AR309" s="436"/>
      <c r="AS309" s="437"/>
      <c r="AT309" s="437"/>
      <c r="AU309" s="437"/>
      <c r="AV309" s="437">
        <f t="shared" si="167"/>
        <v>344256.90018749988</v>
      </c>
      <c r="AW309" s="94"/>
    </row>
    <row r="310" spans="1:49" ht="36" customHeight="1">
      <c r="A310" s="5">
        <v>342</v>
      </c>
      <c r="B310" s="625">
        <v>152</v>
      </c>
      <c r="C310" s="14" t="s">
        <v>14</v>
      </c>
      <c r="D310" s="442" t="s">
        <v>15</v>
      </c>
      <c r="E310" s="10" t="s">
        <v>1490</v>
      </c>
      <c r="F310" s="23" t="s">
        <v>1452</v>
      </c>
      <c r="G310" s="116" t="s">
        <v>16</v>
      </c>
      <c r="H310" s="600">
        <v>136800</v>
      </c>
      <c r="I310" s="50">
        <v>4</v>
      </c>
      <c r="J310" s="55">
        <v>0.4</v>
      </c>
      <c r="K310" s="49"/>
      <c r="L310" s="56"/>
      <c r="M310" s="61">
        <v>5</v>
      </c>
      <c r="N310" s="62">
        <v>8.0000000000000053</v>
      </c>
      <c r="O310" s="62">
        <v>6</v>
      </c>
      <c r="P310" s="62">
        <v>7</v>
      </c>
      <c r="Q310" s="62">
        <v>6.0000000000000036</v>
      </c>
      <c r="R310" s="62">
        <v>8</v>
      </c>
      <c r="S310" s="62">
        <v>0</v>
      </c>
      <c r="T310" s="63">
        <v>7</v>
      </c>
      <c r="U310" s="66" t="e">
        <f t="shared" ca="1" si="149"/>
        <v>#DIV/0!</v>
      </c>
      <c r="V310" s="66">
        <f t="shared" ca="1" si="150"/>
        <v>0.4</v>
      </c>
      <c r="W310" s="70">
        <f t="shared" si="151"/>
        <v>0.78947368421052633</v>
      </c>
      <c r="X310" s="70">
        <f t="shared" si="152"/>
        <v>0.84210526315789525</v>
      </c>
      <c r="Y310" s="70">
        <f t="shared" si="153"/>
        <v>0.84210526315789469</v>
      </c>
      <c r="Z310" s="70">
        <f t="shared" si="154"/>
        <v>1.2280701754385965</v>
      </c>
      <c r="AA310" s="70">
        <f t="shared" si="155"/>
        <v>0.52631578947368451</v>
      </c>
      <c r="AB310" s="70">
        <f t="shared" si="156"/>
        <v>0.98245614035087714</v>
      </c>
      <c r="AC310" s="70">
        <f t="shared" si="157"/>
        <v>0</v>
      </c>
      <c r="AD310" s="71">
        <f t="shared" si="158"/>
        <v>0.73684210526315785</v>
      </c>
      <c r="AE310" s="72">
        <f t="shared" si="159"/>
        <v>0.6</v>
      </c>
      <c r="AF310" s="72">
        <f t="shared" ca="1" si="160"/>
        <v>0.6</v>
      </c>
      <c r="AG310" s="73">
        <f t="shared" ca="1" si="161"/>
        <v>0.6</v>
      </c>
      <c r="AH310" s="456">
        <f t="shared" si="162"/>
        <v>5.9473684210526319</v>
      </c>
      <c r="AI310" s="467">
        <f t="shared" ca="1" si="163"/>
        <v>35.684210526315788</v>
      </c>
      <c r="AJ310" s="458" t="str">
        <f t="shared" ca="1" si="164"/>
        <v>Q4</v>
      </c>
      <c r="AK310" s="95" t="s">
        <v>374</v>
      </c>
      <c r="AL310" s="111"/>
      <c r="AM310" s="117"/>
      <c r="AN310" s="113"/>
      <c r="AO310" s="113"/>
      <c r="AP310" s="113"/>
      <c r="AQ310" s="121"/>
      <c r="AR310" s="436"/>
      <c r="AS310" s="437"/>
      <c r="AT310" s="437"/>
      <c r="AU310" s="437"/>
      <c r="AV310" s="437"/>
      <c r="AW310" s="94"/>
    </row>
    <row r="311" spans="1:49" ht="36" customHeight="1">
      <c r="A311" s="5">
        <v>368</v>
      </c>
      <c r="B311" s="625">
        <v>154</v>
      </c>
      <c r="C311" s="6" t="s">
        <v>14</v>
      </c>
      <c r="D311" s="371" t="s">
        <v>15</v>
      </c>
      <c r="E311" s="10" t="s">
        <v>1491</v>
      </c>
      <c r="F311" s="646" t="s">
        <v>1407</v>
      </c>
      <c r="G311" s="127" t="s">
        <v>16</v>
      </c>
      <c r="H311" s="603">
        <v>230000</v>
      </c>
      <c r="I311" s="50">
        <v>4</v>
      </c>
      <c r="J311" s="55">
        <v>0.5</v>
      </c>
      <c r="K311" s="49"/>
      <c r="L311" s="56"/>
      <c r="M311" s="61">
        <v>6</v>
      </c>
      <c r="N311" s="62">
        <v>7</v>
      </c>
      <c r="O311" s="62">
        <v>6</v>
      </c>
      <c r="P311" s="62">
        <v>8.0000000000000053</v>
      </c>
      <c r="Q311" s="62">
        <v>6.0000000000000036</v>
      </c>
      <c r="R311" s="62">
        <v>8.0000000000000053</v>
      </c>
      <c r="S311" s="62">
        <v>0</v>
      </c>
      <c r="T311" s="63">
        <v>8</v>
      </c>
      <c r="U311" s="66" t="e">
        <f t="shared" ca="1" si="149"/>
        <v>#DIV/0!</v>
      </c>
      <c r="V311" s="66">
        <f t="shared" ca="1" si="150"/>
        <v>0.5</v>
      </c>
      <c r="W311" s="70">
        <f t="shared" si="151"/>
        <v>0.94736842105263153</v>
      </c>
      <c r="X311" s="70">
        <f t="shared" si="152"/>
        <v>0.73684210526315785</v>
      </c>
      <c r="Y311" s="70">
        <f t="shared" si="153"/>
        <v>0.84210526315789469</v>
      </c>
      <c r="Z311" s="70">
        <f t="shared" si="154"/>
        <v>1.4035087719298256</v>
      </c>
      <c r="AA311" s="70">
        <f t="shared" si="155"/>
        <v>0.52631578947368451</v>
      </c>
      <c r="AB311" s="70">
        <f t="shared" si="156"/>
        <v>0.9824561403508778</v>
      </c>
      <c r="AC311" s="70">
        <f t="shared" si="157"/>
        <v>0</v>
      </c>
      <c r="AD311" s="71">
        <f t="shared" si="158"/>
        <v>0.84210526315789469</v>
      </c>
      <c r="AE311" s="72">
        <f t="shared" si="159"/>
        <v>0.6</v>
      </c>
      <c r="AF311" s="72">
        <f t="shared" ca="1" si="160"/>
        <v>0.5</v>
      </c>
      <c r="AG311" s="73">
        <f t="shared" ca="1" si="161"/>
        <v>0.56666666666666665</v>
      </c>
      <c r="AH311" s="456">
        <f t="shared" si="162"/>
        <v>6.2807017543859658</v>
      </c>
      <c r="AI311" s="467">
        <f t="shared" ca="1" si="163"/>
        <v>35.590643274853804</v>
      </c>
      <c r="AJ311" s="458" t="str">
        <f t="shared" ca="1" si="164"/>
        <v>Q3</v>
      </c>
      <c r="AK311" s="95" t="s">
        <v>374</v>
      </c>
      <c r="AL311" s="111"/>
      <c r="AM311" s="118"/>
      <c r="AN311" s="113"/>
      <c r="AO311" s="113"/>
      <c r="AP311" s="113"/>
      <c r="AQ311" s="121"/>
      <c r="AR311" s="438"/>
      <c r="AS311" s="437"/>
      <c r="AT311" s="437"/>
      <c r="AU311" s="437"/>
      <c r="AV311" s="437"/>
      <c r="AW311" s="94"/>
    </row>
    <row r="312" spans="1:49" ht="36" customHeight="1">
      <c r="A312" s="424">
        <v>338</v>
      </c>
      <c r="B312" s="625">
        <v>174</v>
      </c>
      <c r="C312" s="6" t="s">
        <v>14</v>
      </c>
      <c r="D312" s="372" t="s">
        <v>15</v>
      </c>
      <c r="E312" s="10" t="s">
        <v>983</v>
      </c>
      <c r="F312" s="16" t="s">
        <v>1411</v>
      </c>
      <c r="G312" s="595" t="s">
        <v>16</v>
      </c>
      <c r="H312" s="604">
        <v>759000</v>
      </c>
      <c r="I312" s="51">
        <v>4</v>
      </c>
      <c r="J312" s="55">
        <v>0.6</v>
      </c>
      <c r="K312" s="49"/>
      <c r="L312" s="56"/>
      <c r="M312" s="61">
        <v>7</v>
      </c>
      <c r="N312" s="62">
        <v>7</v>
      </c>
      <c r="O312" s="62">
        <v>7</v>
      </c>
      <c r="P312" s="62">
        <v>8</v>
      </c>
      <c r="Q312" s="62">
        <v>6.0000000000000036</v>
      </c>
      <c r="R312" s="62">
        <v>8</v>
      </c>
      <c r="S312" s="62">
        <v>0</v>
      </c>
      <c r="T312" s="63">
        <v>8</v>
      </c>
      <c r="U312" s="66" t="e">
        <f t="shared" ca="1" si="149"/>
        <v>#DIV/0!</v>
      </c>
      <c r="V312" s="66">
        <f t="shared" ca="1" si="150"/>
        <v>0.6</v>
      </c>
      <c r="W312" s="70">
        <f t="shared" si="151"/>
        <v>1.1052631578947369</v>
      </c>
      <c r="X312" s="70">
        <f t="shared" si="152"/>
        <v>0.73684210526315785</v>
      </c>
      <c r="Y312" s="70">
        <f t="shared" si="153"/>
        <v>0.98245614035087714</v>
      </c>
      <c r="Z312" s="70">
        <f t="shared" si="154"/>
        <v>1.4035087719298245</v>
      </c>
      <c r="AA312" s="70">
        <f t="shared" si="155"/>
        <v>0.52631578947368451</v>
      </c>
      <c r="AB312" s="70">
        <f t="shared" si="156"/>
        <v>0.98245614035087714</v>
      </c>
      <c r="AC312" s="70">
        <f t="shared" si="157"/>
        <v>0</v>
      </c>
      <c r="AD312" s="71">
        <f t="shared" si="158"/>
        <v>0.84210526315789469</v>
      </c>
      <c r="AE312" s="72">
        <f t="shared" si="159"/>
        <v>0.6</v>
      </c>
      <c r="AF312" s="72">
        <f t="shared" ca="1" si="160"/>
        <v>0.4</v>
      </c>
      <c r="AG312" s="73">
        <f t="shared" ca="1" si="161"/>
        <v>0.53333333333333333</v>
      </c>
      <c r="AH312" s="456">
        <f t="shared" si="162"/>
        <v>6.5789473684210522</v>
      </c>
      <c r="AI312" s="467">
        <f t="shared" ca="1" si="163"/>
        <v>35.087719298245609</v>
      </c>
      <c r="AJ312" s="458" t="str">
        <f t="shared" ca="1" si="164"/>
        <v>Q3</v>
      </c>
      <c r="AK312" s="96" t="s">
        <v>374</v>
      </c>
      <c r="AL312" s="612"/>
      <c r="AM312" s="117"/>
      <c r="AN312" s="113"/>
      <c r="AO312" s="113"/>
      <c r="AP312" s="113"/>
      <c r="AQ312" s="121"/>
      <c r="AR312" s="436"/>
      <c r="AS312" s="437"/>
      <c r="AT312" s="437"/>
      <c r="AU312" s="437"/>
      <c r="AV312" s="437"/>
      <c r="AW312" s="94"/>
    </row>
    <row r="313" spans="1:49" ht="36" customHeight="1">
      <c r="A313" s="5">
        <v>284</v>
      </c>
      <c r="B313" s="625">
        <v>251</v>
      </c>
      <c r="C313" s="6" t="s">
        <v>14</v>
      </c>
      <c r="D313" s="371" t="s">
        <v>15</v>
      </c>
      <c r="E313" s="15" t="s">
        <v>446</v>
      </c>
      <c r="F313" s="25" t="s">
        <v>1408</v>
      </c>
      <c r="G313" s="130"/>
      <c r="H313" s="606">
        <v>209600</v>
      </c>
      <c r="I313" s="50">
        <v>4</v>
      </c>
      <c r="J313" s="55">
        <v>0.4</v>
      </c>
      <c r="K313" s="49"/>
      <c r="L313" s="56"/>
      <c r="M313" s="61">
        <v>7</v>
      </c>
      <c r="N313" s="62">
        <v>6</v>
      </c>
      <c r="O313" s="62">
        <v>4.0000000000000027</v>
      </c>
      <c r="P313" s="62">
        <v>6.0000000000000036</v>
      </c>
      <c r="Q313" s="62">
        <v>4.0000000000000027</v>
      </c>
      <c r="R313" s="62">
        <v>4.0000000000000027</v>
      </c>
      <c r="S313" s="62">
        <v>0</v>
      </c>
      <c r="T313" s="63">
        <v>8</v>
      </c>
      <c r="U313" s="66" t="e">
        <f t="shared" ca="1" si="149"/>
        <v>#DIV/0!</v>
      </c>
      <c r="V313" s="66">
        <f t="shared" ca="1" si="150"/>
        <v>0.4</v>
      </c>
      <c r="W313" s="70">
        <f t="shared" si="151"/>
        <v>1.1052631578947369</v>
      </c>
      <c r="X313" s="70">
        <f t="shared" si="152"/>
        <v>0.63157894736842102</v>
      </c>
      <c r="Y313" s="70">
        <f t="shared" si="153"/>
        <v>0.56140350877193024</v>
      </c>
      <c r="Z313" s="70">
        <f t="shared" si="154"/>
        <v>1.052631578947369</v>
      </c>
      <c r="AA313" s="70">
        <f t="shared" si="155"/>
        <v>0.3508771929824564</v>
      </c>
      <c r="AB313" s="70">
        <f t="shared" si="156"/>
        <v>0.4912280701754389</v>
      </c>
      <c r="AC313" s="70">
        <f t="shared" si="157"/>
        <v>0</v>
      </c>
      <c r="AD313" s="71">
        <f t="shared" si="158"/>
        <v>0.84210526315789469</v>
      </c>
      <c r="AE313" s="72">
        <f t="shared" si="159"/>
        <v>0.6</v>
      </c>
      <c r="AF313" s="72">
        <f t="shared" ca="1" si="160"/>
        <v>0.6</v>
      </c>
      <c r="AG313" s="73">
        <f t="shared" ca="1" si="161"/>
        <v>0.6</v>
      </c>
      <c r="AH313" s="456">
        <f t="shared" si="162"/>
        <v>5.0350877192982475</v>
      </c>
      <c r="AI313" s="467">
        <f t="shared" ca="1" si="163"/>
        <v>30.210526315789483</v>
      </c>
      <c r="AJ313" s="458" t="str">
        <f t="shared" ca="1" si="164"/>
        <v>Q4</v>
      </c>
      <c r="AK313" s="95" t="s">
        <v>374</v>
      </c>
      <c r="AL313" s="111"/>
      <c r="AM313" s="117"/>
      <c r="AN313" s="113"/>
      <c r="AO313" s="113"/>
      <c r="AP313" s="113"/>
      <c r="AQ313" s="121"/>
      <c r="AR313" s="436"/>
      <c r="AS313" s="437"/>
      <c r="AT313" s="437"/>
      <c r="AU313" s="437"/>
      <c r="AV313" s="437"/>
      <c r="AW313" s="94"/>
    </row>
    <row r="314" spans="1:49" ht="36" customHeight="1">
      <c r="A314" s="5">
        <v>346</v>
      </c>
      <c r="B314" s="625">
        <v>290</v>
      </c>
      <c r="C314" s="6" t="s">
        <v>14</v>
      </c>
      <c r="D314" s="371" t="s">
        <v>7</v>
      </c>
      <c r="E314" s="18" t="s">
        <v>302</v>
      </c>
      <c r="F314" s="19" t="s">
        <v>303</v>
      </c>
      <c r="G314" s="20" t="s">
        <v>304</v>
      </c>
      <c r="H314" s="603">
        <v>240000</v>
      </c>
      <c r="I314" s="50">
        <v>3</v>
      </c>
      <c r="J314" s="55">
        <v>0.3</v>
      </c>
      <c r="K314" s="49"/>
      <c r="L314" s="56"/>
      <c r="M314" s="61">
        <v>4.0000000000000027</v>
      </c>
      <c r="N314" s="62">
        <v>4.0000000000000027</v>
      </c>
      <c r="O314" s="62">
        <v>1</v>
      </c>
      <c r="P314" s="62">
        <v>6.0000000000000036</v>
      </c>
      <c r="Q314" s="62">
        <v>1</v>
      </c>
      <c r="R314" s="62">
        <v>4.0000000000000027</v>
      </c>
      <c r="S314" s="62">
        <v>0</v>
      </c>
      <c r="T314" s="63">
        <v>8.0000000000000053</v>
      </c>
      <c r="U314" s="66" t="e">
        <f t="shared" ca="1" si="149"/>
        <v>#DIV/0!</v>
      </c>
      <c r="V314" s="66">
        <f t="shared" ca="1" si="150"/>
        <v>0.3</v>
      </c>
      <c r="W314" s="70">
        <f t="shared" si="151"/>
        <v>0.63157894736842146</v>
      </c>
      <c r="X314" s="70">
        <f t="shared" si="152"/>
        <v>0.42105263157894762</v>
      </c>
      <c r="Y314" s="70">
        <f t="shared" si="153"/>
        <v>0.14035087719298245</v>
      </c>
      <c r="Z314" s="70">
        <f t="shared" si="154"/>
        <v>1.052631578947369</v>
      </c>
      <c r="AA314" s="70">
        <f t="shared" si="155"/>
        <v>8.771929824561403E-2</v>
      </c>
      <c r="AB314" s="70">
        <f t="shared" si="156"/>
        <v>0.4912280701754389</v>
      </c>
      <c r="AC314" s="70">
        <f t="shared" si="157"/>
        <v>0</v>
      </c>
      <c r="AD314" s="71">
        <f t="shared" si="158"/>
        <v>0.84210526315789525</v>
      </c>
      <c r="AE314" s="72">
        <f t="shared" si="159"/>
        <v>0.7</v>
      </c>
      <c r="AF314" s="72">
        <f t="shared" ca="1" si="160"/>
        <v>0.7</v>
      </c>
      <c r="AG314" s="73">
        <f t="shared" ca="1" si="161"/>
        <v>0.69999999999999984</v>
      </c>
      <c r="AH314" s="456">
        <f t="shared" si="162"/>
        <v>3.6666666666666683</v>
      </c>
      <c r="AI314" s="467">
        <f t="shared" ca="1" si="163"/>
        <v>25.666666666666671</v>
      </c>
      <c r="AJ314" s="458" t="str">
        <f t="shared" ca="1" si="164"/>
        <v>Q4</v>
      </c>
      <c r="AK314" s="95" t="s">
        <v>374</v>
      </c>
      <c r="AL314" s="111"/>
      <c r="AM314" s="117"/>
      <c r="AN314" s="113"/>
      <c r="AO314" s="113"/>
      <c r="AP314" s="113"/>
      <c r="AQ314" s="121"/>
      <c r="AR314" s="436"/>
      <c r="AS314" s="437"/>
      <c r="AT314" s="437"/>
      <c r="AU314" s="437"/>
      <c r="AV314" s="437"/>
      <c r="AW314" s="94"/>
    </row>
    <row r="315" spans="1:49" ht="36" customHeight="1">
      <c r="A315" s="424">
        <v>219</v>
      </c>
      <c r="B315" s="625">
        <v>298</v>
      </c>
      <c r="C315" s="6" t="s">
        <v>9</v>
      </c>
      <c r="D315" s="371" t="s">
        <v>10</v>
      </c>
      <c r="E315" s="10" t="s">
        <v>442</v>
      </c>
      <c r="F315" s="9" t="s">
        <v>1272</v>
      </c>
      <c r="G315" s="8"/>
      <c r="H315" s="608">
        <v>60000</v>
      </c>
      <c r="I315" s="49">
        <v>4</v>
      </c>
      <c r="J315" s="55">
        <v>0.5</v>
      </c>
      <c r="K315" s="49"/>
      <c r="L315" s="56"/>
      <c r="M315" s="61">
        <v>4</v>
      </c>
      <c r="N315" s="62">
        <v>2</v>
      </c>
      <c r="O315" s="62">
        <v>2</v>
      </c>
      <c r="P315" s="62">
        <v>6</v>
      </c>
      <c r="Q315" s="62">
        <v>6</v>
      </c>
      <c r="R315" s="62">
        <v>4</v>
      </c>
      <c r="S315" s="62">
        <v>0</v>
      </c>
      <c r="T315" s="63">
        <v>10</v>
      </c>
      <c r="U315" s="66" t="e">
        <f t="shared" ca="1" si="149"/>
        <v>#DIV/0!</v>
      </c>
      <c r="V315" s="66">
        <f t="shared" ca="1" si="150"/>
        <v>0.5</v>
      </c>
      <c r="W315" s="70">
        <f t="shared" si="151"/>
        <v>0.63157894736842102</v>
      </c>
      <c r="X315" s="70">
        <f t="shared" si="152"/>
        <v>0.21052631578947367</v>
      </c>
      <c r="Y315" s="70">
        <f t="shared" si="153"/>
        <v>0.2807017543859649</v>
      </c>
      <c r="Z315" s="70">
        <f t="shared" si="154"/>
        <v>1.0526315789473684</v>
      </c>
      <c r="AA315" s="70">
        <f t="shared" si="155"/>
        <v>0.52631578947368418</v>
      </c>
      <c r="AB315" s="70">
        <f t="shared" si="156"/>
        <v>0.49122807017543857</v>
      </c>
      <c r="AC315" s="70">
        <f t="shared" si="157"/>
        <v>0</v>
      </c>
      <c r="AD315" s="71">
        <f t="shared" si="158"/>
        <v>1.0526315789473684</v>
      </c>
      <c r="AE315" s="72">
        <f t="shared" si="159"/>
        <v>0.6</v>
      </c>
      <c r="AF315" s="72">
        <f t="shared" ca="1" si="160"/>
        <v>0.5</v>
      </c>
      <c r="AG315" s="73">
        <f t="shared" ca="1" si="161"/>
        <v>0.56666666666666665</v>
      </c>
      <c r="AH315" s="456">
        <f t="shared" si="162"/>
        <v>4.2456140350877183</v>
      </c>
      <c r="AI315" s="467">
        <f t="shared" ca="1" si="163"/>
        <v>24.058479532163734</v>
      </c>
      <c r="AJ315" s="458" t="str">
        <f t="shared" ca="1" si="164"/>
        <v>Q4</v>
      </c>
      <c r="AK315" s="95" t="s">
        <v>374</v>
      </c>
      <c r="AL315" s="570"/>
      <c r="AM315" s="117"/>
      <c r="AN315" s="113"/>
      <c r="AO315" s="113"/>
      <c r="AP315" s="113"/>
      <c r="AQ315" s="121"/>
      <c r="AR315" s="436"/>
      <c r="AS315" s="437"/>
      <c r="AT315" s="437"/>
      <c r="AU315" s="437"/>
      <c r="AV315" s="437"/>
      <c r="AW315" s="94"/>
    </row>
    <row r="316" spans="1:49" ht="36" customHeight="1">
      <c r="A316" s="424"/>
      <c r="B316" s="743" t="s">
        <v>1567</v>
      </c>
      <c r="C316" s="744"/>
      <c r="D316" s="744"/>
      <c r="E316" s="744"/>
      <c r="F316" s="745"/>
      <c r="G316" s="8"/>
      <c r="H316" s="608"/>
      <c r="I316" s="49"/>
      <c r="J316" s="55"/>
      <c r="K316" s="49"/>
      <c r="L316" s="56"/>
      <c r="M316" s="61"/>
      <c r="N316" s="62"/>
      <c r="O316" s="62"/>
      <c r="P316" s="62"/>
      <c r="Q316" s="62"/>
      <c r="R316" s="62"/>
      <c r="S316" s="62"/>
      <c r="T316" s="63"/>
      <c r="U316" s="66"/>
      <c r="V316" s="66"/>
      <c r="W316" s="70"/>
      <c r="X316" s="70"/>
      <c r="Y316" s="70"/>
      <c r="Z316" s="70"/>
      <c r="AA316" s="70"/>
      <c r="AB316" s="70"/>
      <c r="AC316" s="70"/>
      <c r="AD316" s="71"/>
      <c r="AE316" s="72"/>
      <c r="AF316" s="72"/>
      <c r="AG316" s="73"/>
      <c r="AH316" s="456"/>
      <c r="AI316" s="467"/>
      <c r="AJ316" s="458"/>
      <c r="AK316" s="95"/>
      <c r="AL316" s="570"/>
      <c r="AM316" s="117"/>
      <c r="AN316" s="113"/>
      <c r="AO316" s="113"/>
      <c r="AP316" s="113"/>
      <c r="AQ316" s="121"/>
      <c r="AR316" s="436"/>
      <c r="AS316" s="437"/>
      <c r="AT316" s="437"/>
      <c r="AU316" s="437"/>
      <c r="AV316" s="437"/>
      <c r="AW316" s="94"/>
    </row>
    <row r="317" spans="1:49" ht="36" customHeight="1">
      <c r="A317" s="5">
        <v>367</v>
      </c>
      <c r="B317" s="625">
        <v>11</v>
      </c>
      <c r="C317" s="14" t="s">
        <v>12</v>
      </c>
      <c r="D317" s="442" t="s">
        <v>418</v>
      </c>
      <c r="E317" s="12" t="s">
        <v>1532</v>
      </c>
      <c r="F317" s="13" t="s">
        <v>1542</v>
      </c>
      <c r="G317" s="127" t="s">
        <v>35</v>
      </c>
      <c r="H317" s="600">
        <v>600000</v>
      </c>
      <c r="I317" s="50">
        <v>3</v>
      </c>
      <c r="J317" s="55">
        <v>0.1</v>
      </c>
      <c r="K317" s="49"/>
      <c r="L317" s="56"/>
      <c r="M317" s="61">
        <v>7</v>
      </c>
      <c r="N317" s="62">
        <v>7</v>
      </c>
      <c r="O317" s="62">
        <v>3</v>
      </c>
      <c r="P317" s="62">
        <v>9.9999999999999982</v>
      </c>
      <c r="Q317" s="62">
        <v>5</v>
      </c>
      <c r="R317" s="62">
        <v>8.0000000000000053</v>
      </c>
      <c r="S317" s="62">
        <v>0</v>
      </c>
      <c r="T317" s="63">
        <v>9.9999999999999982</v>
      </c>
      <c r="U317" s="66" t="e">
        <f t="shared" ref="U317:U324" ca="1" si="168">(L317-(YEAR(TODAY())-K317))/L317</f>
        <v>#DIV/0!</v>
      </c>
      <c r="V317" s="66">
        <f t="shared" ref="V317:V324" ca="1" si="169">IFERROR(U317,J317)</f>
        <v>0.1</v>
      </c>
      <c r="W317" s="70">
        <f t="shared" ref="W317:W324" si="170">M317*Weight1/(WSum)</f>
        <v>1.1052631578947369</v>
      </c>
      <c r="X317" s="70">
        <f t="shared" ref="X317:X324" si="171">N317*Weight2/(WSum)</f>
        <v>0.73684210526315785</v>
      </c>
      <c r="Y317" s="70">
        <f t="shared" ref="Y317:Y324" si="172">O317*Weight3/(WSum)</f>
        <v>0.42105263157894735</v>
      </c>
      <c r="Z317" s="70">
        <f t="shared" ref="Z317:Z324" si="173">P317*Weight4/(WSum)</f>
        <v>1.7543859649122804</v>
      </c>
      <c r="AA317" s="70">
        <f t="shared" ref="AA317:AA324" si="174">Q317*Weight5/(WSum)</f>
        <v>0.43859649122807015</v>
      </c>
      <c r="AB317" s="70">
        <f t="shared" ref="AB317:AB324" si="175">R317*Weight6/(WSum)</f>
        <v>0.9824561403508778</v>
      </c>
      <c r="AC317" s="70">
        <f t="shared" ref="AC317:AC324" si="176">S317*Weight7/(WSum)</f>
        <v>0</v>
      </c>
      <c r="AD317" s="71">
        <f t="shared" ref="AD317:AD324" si="177">T317*Weight8/(WSum)</f>
        <v>1.0526315789473681</v>
      </c>
      <c r="AE317" s="72">
        <f t="shared" ref="AE317:AE324" si="178">-1/10*I317+1</f>
        <v>0.7</v>
      </c>
      <c r="AF317" s="72">
        <f t="shared" ref="AF317:AF324" ca="1" si="179">IF(V317&lt;0,0,-V317+1)</f>
        <v>0.9</v>
      </c>
      <c r="AG317" s="73">
        <f t="shared" ref="AG317:AG324" ca="1" si="180">(AE317*CondWeight+AF317*PLifeWeight)/(CondWeight+PLifeWeight)</f>
        <v>0.76666666666666661</v>
      </c>
      <c r="AH317" s="456">
        <f t="shared" ref="AH317:AH324" si="181">SUM(W317:AD317)</f>
        <v>6.4912280701754383</v>
      </c>
      <c r="AI317" s="467">
        <f t="shared" ref="AI317:AI324" ca="1" si="182">AH317*AG317*10</f>
        <v>49.766081871345023</v>
      </c>
      <c r="AJ317" s="458" t="str">
        <f t="shared" ref="AJ317:AJ324" ca="1" si="183">IF(AG317&gt;$AG$2,IF(AH317&gt;$AH$2,"Q1","Q2"),IF(AH317&gt;$AH$2,"Q3","Q4"))</f>
        <v>Q1</v>
      </c>
      <c r="AK317" s="95" t="s">
        <v>379</v>
      </c>
      <c r="AL317" s="573"/>
      <c r="AM317" s="117">
        <v>600000</v>
      </c>
      <c r="AN317" s="113"/>
      <c r="AO317" s="113"/>
      <c r="AP317" s="113"/>
      <c r="AQ317" s="121"/>
      <c r="AR317" s="436">
        <f>AM317</f>
        <v>600000</v>
      </c>
      <c r="AS317" s="437"/>
      <c r="AT317" s="437"/>
      <c r="AU317" s="437"/>
      <c r="AV317" s="437"/>
      <c r="AW317" s="94"/>
    </row>
    <row r="318" spans="1:49" ht="36" customHeight="1">
      <c r="A318" s="5">
        <v>344</v>
      </c>
      <c r="B318" s="625">
        <v>20</v>
      </c>
      <c r="C318" s="14" t="s">
        <v>26</v>
      </c>
      <c r="D318" s="442" t="s">
        <v>1334</v>
      </c>
      <c r="E318" s="10" t="s">
        <v>27</v>
      </c>
      <c r="F318" s="17" t="s">
        <v>1521</v>
      </c>
      <c r="G318" s="17"/>
      <c r="H318" s="608">
        <v>1500000</v>
      </c>
      <c r="I318" s="656">
        <v>3</v>
      </c>
      <c r="J318" s="427">
        <v>0.2</v>
      </c>
      <c r="K318" s="49"/>
      <c r="L318" s="428"/>
      <c r="M318" s="429">
        <v>10</v>
      </c>
      <c r="N318" s="430">
        <v>10</v>
      </c>
      <c r="O318" s="430">
        <v>6</v>
      </c>
      <c r="P318" s="430">
        <v>6</v>
      </c>
      <c r="Q318" s="430">
        <v>0</v>
      </c>
      <c r="R318" s="430">
        <v>8.0000000000000053</v>
      </c>
      <c r="S318" s="430">
        <v>1</v>
      </c>
      <c r="T318" s="431">
        <v>9.9999999999999982</v>
      </c>
      <c r="U318" s="657" t="e">
        <f t="shared" ca="1" si="168"/>
        <v>#DIV/0!</v>
      </c>
      <c r="V318" s="657">
        <f t="shared" ca="1" si="169"/>
        <v>0.2</v>
      </c>
      <c r="W318" s="651">
        <f t="shared" si="170"/>
        <v>1.5789473684210527</v>
      </c>
      <c r="X318" s="651">
        <f t="shared" si="171"/>
        <v>1.0526315789473684</v>
      </c>
      <c r="Y318" s="651">
        <f t="shared" si="172"/>
        <v>0.84210526315789469</v>
      </c>
      <c r="Z318" s="651">
        <f t="shared" si="173"/>
        <v>1.0526315789473684</v>
      </c>
      <c r="AA318" s="651">
        <f t="shared" si="174"/>
        <v>0</v>
      </c>
      <c r="AB318" s="651">
        <f t="shared" si="175"/>
        <v>0.9824561403508778</v>
      </c>
      <c r="AC318" s="651">
        <f t="shared" si="176"/>
        <v>0.10526315789473684</v>
      </c>
      <c r="AD318" s="652">
        <f t="shared" si="177"/>
        <v>1.0526315789473681</v>
      </c>
      <c r="AE318" s="653">
        <f t="shared" si="178"/>
        <v>0.7</v>
      </c>
      <c r="AF318" s="653">
        <f t="shared" ca="1" si="179"/>
        <v>0.8</v>
      </c>
      <c r="AG318" s="589">
        <f t="shared" ca="1" si="180"/>
        <v>0.73333333333333339</v>
      </c>
      <c r="AH318" s="658">
        <f t="shared" si="181"/>
        <v>6.666666666666667</v>
      </c>
      <c r="AI318" s="467">
        <f t="shared" ca="1" si="182"/>
        <v>48.888888888888893</v>
      </c>
      <c r="AJ318" s="458" t="str">
        <f t="shared" ca="1" si="183"/>
        <v>Q3</v>
      </c>
      <c r="AK318" s="659" t="s">
        <v>379</v>
      </c>
      <c r="AL318" s="686">
        <v>500000</v>
      </c>
      <c r="AM318" s="660">
        <v>500000</v>
      </c>
      <c r="AN318" s="661">
        <v>500000</v>
      </c>
      <c r="AO318" s="113"/>
      <c r="AP318" s="113"/>
      <c r="AQ318" s="121"/>
      <c r="AR318" s="655">
        <v>1000000</v>
      </c>
      <c r="AS318" s="637" t="s">
        <v>514</v>
      </c>
      <c r="AT318" s="637"/>
      <c r="AU318" s="637"/>
      <c r="AV318" s="637"/>
      <c r="AW318" s="94"/>
    </row>
    <row r="319" spans="1:49" ht="36" customHeight="1">
      <c r="A319" s="5"/>
      <c r="B319" s="625">
        <v>83</v>
      </c>
      <c r="C319" s="6" t="s">
        <v>18</v>
      </c>
      <c r="D319" s="371" t="s">
        <v>418</v>
      </c>
      <c r="E319" s="12" t="s">
        <v>443</v>
      </c>
      <c r="F319" s="8" t="s">
        <v>1243</v>
      </c>
      <c r="G319" s="8"/>
      <c r="H319" s="679">
        <v>165000</v>
      </c>
      <c r="I319" s="380">
        <v>3</v>
      </c>
      <c r="J319" s="377">
        <v>0.2</v>
      </c>
      <c r="K319" s="376"/>
      <c r="L319" s="378"/>
      <c r="M319" s="61">
        <v>5</v>
      </c>
      <c r="N319" s="62">
        <v>6</v>
      </c>
      <c r="O319" s="62">
        <v>6</v>
      </c>
      <c r="P319" s="62">
        <v>6</v>
      </c>
      <c r="Q319" s="62">
        <v>8</v>
      </c>
      <c r="R319" s="62">
        <v>6</v>
      </c>
      <c r="S319" s="62">
        <v>0</v>
      </c>
      <c r="T319" s="63">
        <v>8</v>
      </c>
      <c r="U319" s="66" t="e">
        <f t="shared" ca="1" si="168"/>
        <v>#DIV/0!</v>
      </c>
      <c r="V319" s="66">
        <f t="shared" ca="1" si="169"/>
        <v>0.2</v>
      </c>
      <c r="W319" s="70">
        <f t="shared" si="170"/>
        <v>0.78947368421052633</v>
      </c>
      <c r="X319" s="70">
        <f t="shared" si="171"/>
        <v>0.63157894736842102</v>
      </c>
      <c r="Y319" s="70">
        <f t="shared" si="172"/>
        <v>0.84210526315789469</v>
      </c>
      <c r="Z319" s="70">
        <f t="shared" si="173"/>
        <v>1.0526315789473684</v>
      </c>
      <c r="AA319" s="70">
        <f t="shared" si="174"/>
        <v>0.70175438596491224</v>
      </c>
      <c r="AB319" s="70">
        <f t="shared" si="175"/>
        <v>0.73684210526315785</v>
      </c>
      <c r="AC319" s="70">
        <f t="shared" si="176"/>
        <v>0</v>
      </c>
      <c r="AD319" s="71">
        <f t="shared" si="177"/>
        <v>0.84210526315789469</v>
      </c>
      <c r="AE319" s="72">
        <f t="shared" si="178"/>
        <v>0.7</v>
      </c>
      <c r="AF319" s="72">
        <f t="shared" ca="1" si="179"/>
        <v>0.8</v>
      </c>
      <c r="AG319" s="73">
        <f t="shared" ca="1" si="180"/>
        <v>0.73333333333333339</v>
      </c>
      <c r="AH319" s="456">
        <f t="shared" si="181"/>
        <v>5.5964912280701755</v>
      </c>
      <c r="AI319" s="467">
        <f t="shared" ca="1" si="182"/>
        <v>41.040935672514621</v>
      </c>
      <c r="AJ319" s="458" t="str">
        <f t="shared" ca="1" si="183"/>
        <v>Q4</v>
      </c>
      <c r="AK319" s="95" t="s">
        <v>379</v>
      </c>
      <c r="AL319" s="573"/>
      <c r="AM319" s="123"/>
      <c r="AN319" s="119"/>
      <c r="AO319" s="119">
        <v>165000</v>
      </c>
      <c r="AP319" s="119"/>
      <c r="AQ319" s="119"/>
      <c r="AR319" s="439"/>
      <c r="AS319" s="439"/>
      <c r="AT319" s="439">
        <f>AO319*(1+Efactor)^2</f>
        <v>176752.12499999997</v>
      </c>
      <c r="AU319" s="439"/>
      <c r="AV319" s="439"/>
      <c r="AW319" s="94"/>
    </row>
    <row r="320" spans="1:49" ht="36" customHeight="1">
      <c r="A320" s="424">
        <v>323</v>
      </c>
      <c r="B320" s="625">
        <v>89</v>
      </c>
      <c r="C320" s="14" t="s">
        <v>6</v>
      </c>
      <c r="D320" s="442" t="s">
        <v>7</v>
      </c>
      <c r="E320" s="7" t="s">
        <v>79</v>
      </c>
      <c r="F320" s="8" t="s">
        <v>1504</v>
      </c>
      <c r="G320" s="8"/>
      <c r="H320" s="600">
        <v>2000000</v>
      </c>
      <c r="I320" s="49">
        <v>3</v>
      </c>
      <c r="J320" s="55">
        <v>0.3</v>
      </c>
      <c r="K320" s="49"/>
      <c r="L320" s="56"/>
      <c r="M320" s="61">
        <v>6.0000000000000036</v>
      </c>
      <c r="N320" s="62">
        <v>8</v>
      </c>
      <c r="O320" s="62">
        <v>2</v>
      </c>
      <c r="P320" s="62">
        <v>6.0000000000000036</v>
      </c>
      <c r="Q320" s="62">
        <v>4</v>
      </c>
      <c r="R320" s="62">
        <v>6.0000000000000036</v>
      </c>
      <c r="S320" s="62">
        <v>6</v>
      </c>
      <c r="T320" s="63">
        <v>9</v>
      </c>
      <c r="U320" s="66" t="e">
        <f t="shared" ca="1" si="168"/>
        <v>#DIV/0!</v>
      </c>
      <c r="V320" s="66">
        <f t="shared" ca="1" si="169"/>
        <v>0.3</v>
      </c>
      <c r="W320" s="70">
        <f t="shared" si="170"/>
        <v>0.94736842105263208</v>
      </c>
      <c r="X320" s="70">
        <f t="shared" si="171"/>
        <v>0.84210526315789469</v>
      </c>
      <c r="Y320" s="70">
        <f t="shared" si="172"/>
        <v>0.2807017543859649</v>
      </c>
      <c r="Z320" s="70">
        <f t="shared" si="173"/>
        <v>1.052631578947369</v>
      </c>
      <c r="AA320" s="70">
        <f t="shared" si="174"/>
        <v>0.35087719298245612</v>
      </c>
      <c r="AB320" s="70">
        <f t="shared" si="175"/>
        <v>0.73684210526315841</v>
      </c>
      <c r="AC320" s="70">
        <f t="shared" si="176"/>
        <v>0.63157894736842102</v>
      </c>
      <c r="AD320" s="71">
        <f t="shared" si="177"/>
        <v>0.94736842105263153</v>
      </c>
      <c r="AE320" s="72">
        <f t="shared" si="178"/>
        <v>0.7</v>
      </c>
      <c r="AF320" s="72">
        <f t="shared" ca="1" si="179"/>
        <v>0.7</v>
      </c>
      <c r="AG320" s="73">
        <f t="shared" ca="1" si="180"/>
        <v>0.69999999999999984</v>
      </c>
      <c r="AH320" s="456">
        <f t="shared" si="181"/>
        <v>5.7894736842105283</v>
      </c>
      <c r="AI320" s="467">
        <f t="shared" ca="1" si="182"/>
        <v>40.526315789473692</v>
      </c>
      <c r="AJ320" s="458" t="str">
        <f t="shared" ca="1" si="183"/>
        <v>Q4</v>
      </c>
      <c r="AK320" s="93" t="s">
        <v>379</v>
      </c>
      <c r="AL320" s="110"/>
      <c r="AM320" s="117"/>
      <c r="AN320" s="113"/>
      <c r="AO320" s="113"/>
      <c r="AP320" s="113">
        <v>50000</v>
      </c>
      <c r="AQ320" s="121"/>
      <c r="AR320" s="436"/>
      <c r="AS320" s="437"/>
      <c r="AT320" s="437"/>
      <c r="AU320" s="437">
        <f>AP320*(1+Efactor)^3</f>
        <v>55435.893749999988</v>
      </c>
      <c r="AV320" s="437"/>
      <c r="AW320" s="94"/>
    </row>
    <row r="321" spans="1:49" ht="36" customHeight="1">
      <c r="A321" s="424">
        <v>327</v>
      </c>
      <c r="B321" s="625">
        <v>90</v>
      </c>
      <c r="C321" s="6" t="s">
        <v>20</v>
      </c>
      <c r="D321" s="371" t="s">
        <v>417</v>
      </c>
      <c r="E321" s="32" t="s">
        <v>1287</v>
      </c>
      <c r="F321" s="23" t="s">
        <v>258</v>
      </c>
      <c r="G321" s="13" t="s">
        <v>259</v>
      </c>
      <c r="H321" s="600">
        <v>234000</v>
      </c>
      <c r="I321" s="50">
        <v>4</v>
      </c>
      <c r="J321" s="55">
        <v>0.2</v>
      </c>
      <c r="K321" s="49"/>
      <c r="L321" s="56"/>
      <c r="M321" s="61">
        <v>6.0000000000000036</v>
      </c>
      <c r="N321" s="62">
        <v>6.0000000000000036</v>
      </c>
      <c r="O321" s="62">
        <v>9.9999999999999982</v>
      </c>
      <c r="P321" s="62">
        <v>2</v>
      </c>
      <c r="Q321" s="62">
        <v>0</v>
      </c>
      <c r="R321" s="62">
        <v>6</v>
      </c>
      <c r="S321" s="62">
        <v>10</v>
      </c>
      <c r="T321" s="63">
        <v>9</v>
      </c>
      <c r="U321" s="66" t="e">
        <f t="shared" ca="1" si="168"/>
        <v>#DIV/0!</v>
      </c>
      <c r="V321" s="66">
        <f t="shared" ca="1" si="169"/>
        <v>0.2</v>
      </c>
      <c r="W321" s="70">
        <f t="shared" si="170"/>
        <v>0.94736842105263208</v>
      </c>
      <c r="X321" s="70">
        <f t="shared" si="171"/>
        <v>0.63157894736842146</v>
      </c>
      <c r="Y321" s="70">
        <f t="shared" si="172"/>
        <v>1.4035087719298243</v>
      </c>
      <c r="Z321" s="70">
        <f t="shared" si="173"/>
        <v>0.35087719298245612</v>
      </c>
      <c r="AA321" s="70">
        <f t="shared" si="174"/>
        <v>0</v>
      </c>
      <c r="AB321" s="70">
        <f t="shared" si="175"/>
        <v>0.73684210526315785</v>
      </c>
      <c r="AC321" s="70">
        <f t="shared" si="176"/>
        <v>1.0526315789473684</v>
      </c>
      <c r="AD321" s="71">
        <f t="shared" si="177"/>
        <v>0.94736842105263153</v>
      </c>
      <c r="AE321" s="72">
        <f t="shared" si="178"/>
        <v>0.6</v>
      </c>
      <c r="AF321" s="72">
        <f t="shared" ca="1" si="179"/>
        <v>0.8</v>
      </c>
      <c r="AG321" s="73">
        <f t="shared" ca="1" si="180"/>
        <v>0.66666666666666663</v>
      </c>
      <c r="AH321" s="456">
        <f t="shared" si="181"/>
        <v>6.0701754385964914</v>
      </c>
      <c r="AI321" s="467">
        <f t="shared" ca="1" si="182"/>
        <v>40.467836257309941</v>
      </c>
      <c r="AJ321" s="458" t="str">
        <f t="shared" ca="1" si="183"/>
        <v>Q3</v>
      </c>
      <c r="AK321" s="95" t="s">
        <v>379</v>
      </c>
      <c r="AL321" s="111"/>
      <c r="AM321" s="117"/>
      <c r="AN321" s="113"/>
      <c r="AO321" s="113"/>
      <c r="AP321" s="113"/>
      <c r="AQ321" s="121"/>
      <c r="AR321" s="436"/>
      <c r="AS321" s="437"/>
      <c r="AT321" s="437"/>
      <c r="AU321" s="437"/>
      <c r="AV321" s="437"/>
      <c r="AW321" s="94"/>
    </row>
    <row r="322" spans="1:49" ht="36" customHeight="1">
      <c r="A322" s="424">
        <v>315</v>
      </c>
      <c r="B322" s="625">
        <v>104</v>
      </c>
      <c r="C322" s="14" t="s">
        <v>12</v>
      </c>
      <c r="D322" s="442" t="s">
        <v>418</v>
      </c>
      <c r="E322" s="10" t="s">
        <v>1235</v>
      </c>
      <c r="F322" s="11" t="s">
        <v>1545</v>
      </c>
      <c r="G322" s="131"/>
      <c r="H322" s="600">
        <v>350000</v>
      </c>
      <c r="I322" s="50">
        <v>3</v>
      </c>
      <c r="J322" s="55">
        <v>0.2</v>
      </c>
      <c r="K322" s="49"/>
      <c r="L322" s="56"/>
      <c r="M322" s="61">
        <v>5</v>
      </c>
      <c r="N322" s="62">
        <v>6</v>
      </c>
      <c r="O322" s="62">
        <v>4</v>
      </c>
      <c r="P322" s="62">
        <v>8</v>
      </c>
      <c r="Q322" s="62">
        <v>2</v>
      </c>
      <c r="R322" s="62">
        <v>5</v>
      </c>
      <c r="S322" s="62">
        <v>0</v>
      </c>
      <c r="T322" s="63">
        <v>10</v>
      </c>
      <c r="U322" s="66" t="e">
        <f t="shared" ca="1" si="168"/>
        <v>#DIV/0!</v>
      </c>
      <c r="V322" s="66">
        <f t="shared" ca="1" si="169"/>
        <v>0.2</v>
      </c>
      <c r="W322" s="70">
        <f t="shared" si="170"/>
        <v>0.78947368421052633</v>
      </c>
      <c r="X322" s="70">
        <f t="shared" si="171"/>
        <v>0.63157894736842102</v>
      </c>
      <c r="Y322" s="70">
        <f t="shared" si="172"/>
        <v>0.56140350877192979</v>
      </c>
      <c r="Z322" s="70">
        <f t="shared" si="173"/>
        <v>1.4035087719298245</v>
      </c>
      <c r="AA322" s="70">
        <f t="shared" si="174"/>
        <v>0.17543859649122806</v>
      </c>
      <c r="AB322" s="70">
        <f t="shared" si="175"/>
        <v>0.61403508771929827</v>
      </c>
      <c r="AC322" s="70">
        <f t="shared" si="176"/>
        <v>0</v>
      </c>
      <c r="AD322" s="71">
        <f t="shared" si="177"/>
        <v>1.0526315789473684</v>
      </c>
      <c r="AE322" s="72">
        <f t="shared" si="178"/>
        <v>0.7</v>
      </c>
      <c r="AF322" s="72">
        <f t="shared" ca="1" si="179"/>
        <v>0.8</v>
      </c>
      <c r="AG322" s="73">
        <f t="shared" ca="1" si="180"/>
        <v>0.73333333333333339</v>
      </c>
      <c r="AH322" s="456">
        <f t="shared" si="181"/>
        <v>5.2280701754385959</v>
      </c>
      <c r="AI322" s="467">
        <f t="shared" ca="1" si="182"/>
        <v>38.339181286549703</v>
      </c>
      <c r="AJ322" s="458" t="str">
        <f t="shared" ca="1" si="183"/>
        <v>Q4</v>
      </c>
      <c r="AK322" s="93" t="s">
        <v>379</v>
      </c>
      <c r="AL322" s="111"/>
      <c r="AM322" s="117"/>
      <c r="AN322" s="113"/>
      <c r="AO322" s="113"/>
      <c r="AP322" s="113"/>
      <c r="AQ322" s="121"/>
      <c r="AR322" s="436"/>
      <c r="AS322" s="437"/>
      <c r="AT322" s="437"/>
      <c r="AU322" s="437"/>
      <c r="AV322" s="437"/>
      <c r="AW322" s="94"/>
    </row>
    <row r="323" spans="1:49" ht="36" customHeight="1">
      <c r="A323" s="424">
        <v>369</v>
      </c>
      <c r="B323" s="625">
        <v>199</v>
      </c>
      <c r="C323" s="6" t="s">
        <v>18</v>
      </c>
      <c r="D323" s="371" t="s">
        <v>418</v>
      </c>
      <c r="E323" s="12" t="s">
        <v>444</v>
      </c>
      <c r="F323" s="8" t="s">
        <v>1244</v>
      </c>
      <c r="G323" s="8"/>
      <c r="H323" s="600">
        <v>240000</v>
      </c>
      <c r="I323" s="50">
        <v>4</v>
      </c>
      <c r="J323" s="55">
        <v>0.4</v>
      </c>
      <c r="K323" s="49"/>
      <c r="L323" s="56"/>
      <c r="M323" s="61">
        <v>6</v>
      </c>
      <c r="N323" s="62">
        <v>7</v>
      </c>
      <c r="O323" s="62">
        <v>6</v>
      </c>
      <c r="P323" s="62">
        <v>5</v>
      </c>
      <c r="Q323" s="62">
        <v>8</v>
      </c>
      <c r="R323" s="62">
        <v>6</v>
      </c>
      <c r="S323" s="62">
        <v>0</v>
      </c>
      <c r="T323" s="63">
        <v>8</v>
      </c>
      <c r="U323" s="66" t="e">
        <f t="shared" ca="1" si="168"/>
        <v>#DIV/0!</v>
      </c>
      <c r="V323" s="66">
        <f t="shared" ca="1" si="169"/>
        <v>0.4</v>
      </c>
      <c r="W323" s="70">
        <f t="shared" si="170"/>
        <v>0.94736842105263153</v>
      </c>
      <c r="X323" s="70">
        <f t="shared" si="171"/>
        <v>0.73684210526315785</v>
      </c>
      <c r="Y323" s="70">
        <f t="shared" si="172"/>
        <v>0.84210526315789469</v>
      </c>
      <c r="Z323" s="70">
        <f t="shared" si="173"/>
        <v>0.8771929824561403</v>
      </c>
      <c r="AA323" s="70">
        <f t="shared" si="174"/>
        <v>0.70175438596491224</v>
      </c>
      <c r="AB323" s="70">
        <f t="shared" si="175"/>
        <v>0.73684210526315785</v>
      </c>
      <c r="AC323" s="70">
        <f t="shared" si="176"/>
        <v>0</v>
      </c>
      <c r="AD323" s="71">
        <f t="shared" si="177"/>
        <v>0.84210526315789469</v>
      </c>
      <c r="AE323" s="72">
        <f t="shared" si="178"/>
        <v>0.6</v>
      </c>
      <c r="AF323" s="72">
        <f t="shared" ca="1" si="179"/>
        <v>0.6</v>
      </c>
      <c r="AG323" s="73">
        <f t="shared" ca="1" si="180"/>
        <v>0.6</v>
      </c>
      <c r="AH323" s="456">
        <f t="shared" si="181"/>
        <v>5.6842105263157885</v>
      </c>
      <c r="AI323" s="467">
        <f t="shared" ca="1" si="182"/>
        <v>34.105263157894733</v>
      </c>
      <c r="AJ323" s="458" t="str">
        <f t="shared" ca="1" si="183"/>
        <v>Q4</v>
      </c>
      <c r="AK323" s="95" t="s">
        <v>379</v>
      </c>
      <c r="AL323" s="573"/>
      <c r="AM323" s="117"/>
      <c r="AN323" s="113"/>
      <c r="AO323" s="113"/>
      <c r="AP323" s="113"/>
      <c r="AQ323" s="121"/>
      <c r="AR323" s="436"/>
      <c r="AS323" s="437"/>
      <c r="AT323" s="437"/>
      <c r="AU323" s="437"/>
      <c r="AV323" s="437"/>
      <c r="AW323" s="94"/>
    </row>
    <row r="324" spans="1:49" ht="36" customHeight="1">
      <c r="A324" s="5">
        <v>377</v>
      </c>
      <c r="B324" s="625">
        <v>292</v>
      </c>
      <c r="C324" s="6" t="s">
        <v>8</v>
      </c>
      <c r="D324" s="371" t="s">
        <v>7</v>
      </c>
      <c r="E324" s="18" t="s">
        <v>104</v>
      </c>
      <c r="F324" s="19" t="s">
        <v>1368</v>
      </c>
      <c r="G324" s="20" t="s">
        <v>105</v>
      </c>
      <c r="H324" s="603">
        <v>127350</v>
      </c>
      <c r="I324" s="380">
        <v>3</v>
      </c>
      <c r="J324" s="377">
        <v>0.3</v>
      </c>
      <c r="K324" s="376"/>
      <c r="L324" s="378"/>
      <c r="M324" s="61">
        <v>4</v>
      </c>
      <c r="N324" s="62">
        <v>5</v>
      </c>
      <c r="O324" s="62">
        <v>4.0000000000000027</v>
      </c>
      <c r="P324" s="62">
        <v>4</v>
      </c>
      <c r="Q324" s="62">
        <v>0</v>
      </c>
      <c r="R324" s="62">
        <v>4</v>
      </c>
      <c r="S324" s="62">
        <v>0</v>
      </c>
      <c r="T324" s="63">
        <v>7</v>
      </c>
      <c r="U324" s="66" t="e">
        <f t="shared" ca="1" si="168"/>
        <v>#DIV/0!</v>
      </c>
      <c r="V324" s="66">
        <f t="shared" ca="1" si="169"/>
        <v>0.3</v>
      </c>
      <c r="W324" s="70">
        <f t="shared" si="170"/>
        <v>0.63157894736842102</v>
      </c>
      <c r="X324" s="70">
        <f t="shared" si="171"/>
        <v>0.52631578947368418</v>
      </c>
      <c r="Y324" s="70">
        <f t="shared" si="172"/>
        <v>0.56140350877193024</v>
      </c>
      <c r="Z324" s="70">
        <f t="shared" si="173"/>
        <v>0.70175438596491224</v>
      </c>
      <c r="AA324" s="70">
        <f t="shared" si="174"/>
        <v>0</v>
      </c>
      <c r="AB324" s="70">
        <f t="shared" si="175"/>
        <v>0.49122807017543857</v>
      </c>
      <c r="AC324" s="70">
        <f t="shared" si="176"/>
        <v>0</v>
      </c>
      <c r="AD324" s="71">
        <f t="shared" si="177"/>
        <v>0.73684210526315785</v>
      </c>
      <c r="AE324" s="72">
        <f t="shared" si="178"/>
        <v>0.7</v>
      </c>
      <c r="AF324" s="72">
        <f t="shared" ca="1" si="179"/>
        <v>0.7</v>
      </c>
      <c r="AG324" s="73">
        <f t="shared" ca="1" si="180"/>
        <v>0.69999999999999984</v>
      </c>
      <c r="AH324" s="456">
        <f t="shared" si="181"/>
        <v>3.6491228070175441</v>
      </c>
      <c r="AI324" s="467">
        <f t="shared" ca="1" si="182"/>
        <v>25.543859649122801</v>
      </c>
      <c r="AJ324" s="458" t="str">
        <f t="shared" ca="1" si="183"/>
        <v>Q4</v>
      </c>
      <c r="AK324" s="95" t="s">
        <v>379</v>
      </c>
      <c r="AL324" s="572"/>
      <c r="AM324" s="117"/>
      <c r="AN324" s="113"/>
      <c r="AO324" s="113"/>
      <c r="AP324" s="113"/>
      <c r="AQ324" s="121"/>
      <c r="AR324" s="436"/>
      <c r="AS324" s="437"/>
      <c r="AT324" s="437"/>
      <c r="AU324" s="437"/>
      <c r="AV324" s="437"/>
      <c r="AW324" s="94"/>
    </row>
    <row r="325" spans="1:49">
      <c r="F325" s="585" t="s">
        <v>1537</v>
      </c>
      <c r="H325" s="460">
        <f ca="1">SUM(H4:H324)</f>
        <v>344138077</v>
      </c>
      <c r="AM325" s="257">
        <f ca="1">SUM(AM6:AM325)</f>
        <v>99056518</v>
      </c>
      <c r="AN325" s="257">
        <f ca="1">SUM(AN6:AN325)</f>
        <v>76073648</v>
      </c>
      <c r="AO325" s="257">
        <f ca="1">SUM(AO6:AO325)</f>
        <v>107996832</v>
      </c>
      <c r="AP325" s="585" t="s">
        <v>1538</v>
      </c>
      <c r="AQ325" s="134"/>
      <c r="AR325" s="460" t="s">
        <v>514</v>
      </c>
    </row>
    <row r="326" spans="1:49">
      <c r="AR326" s="726" t="s">
        <v>514</v>
      </c>
      <c r="AS326" s="727"/>
      <c r="AT326" s="727"/>
      <c r="AU326" s="727"/>
      <c r="AV326" s="727"/>
    </row>
    <row r="327" spans="1:49" ht="18.75" customHeight="1">
      <c r="F327" s="97"/>
      <c r="H327" s="460"/>
    </row>
    <row r="328" spans="1:49">
      <c r="AR328" s="584"/>
    </row>
    <row r="329" spans="1:49">
      <c r="F329" s="585"/>
    </row>
    <row r="331" spans="1:49" ht="15.75">
      <c r="M331" s="57" t="s">
        <v>383</v>
      </c>
      <c r="N331" s="57" t="s">
        <v>383</v>
      </c>
      <c r="O331" s="57" t="s">
        <v>383</v>
      </c>
      <c r="P331" s="57" t="s">
        <v>383</v>
      </c>
      <c r="Q331" s="57" t="s">
        <v>383</v>
      </c>
      <c r="R331" s="57" t="s">
        <v>383</v>
      </c>
      <c r="S331" s="57" t="s">
        <v>383</v>
      </c>
      <c r="T331" s="57" t="s">
        <v>383</v>
      </c>
    </row>
    <row r="332" spans="1:49" ht="15.75">
      <c r="M332" s="58">
        <v>9</v>
      </c>
      <c r="N332" s="58">
        <v>6</v>
      </c>
      <c r="O332" s="58">
        <v>8</v>
      </c>
      <c r="P332" s="58">
        <v>10</v>
      </c>
      <c r="Q332" s="58">
        <v>5</v>
      </c>
      <c r="R332" s="58">
        <v>7</v>
      </c>
      <c r="S332" s="58">
        <v>6</v>
      </c>
      <c r="T332" s="58">
        <v>6</v>
      </c>
    </row>
    <row r="333" spans="1:49" ht="38.25">
      <c r="M333" s="59" t="s">
        <v>391</v>
      </c>
      <c r="N333" s="59" t="s">
        <v>398</v>
      </c>
      <c r="O333" s="59" t="s">
        <v>455</v>
      </c>
      <c r="P333" s="59" t="s">
        <v>1088</v>
      </c>
      <c r="Q333" s="59" t="s">
        <v>395</v>
      </c>
      <c r="R333" s="59" t="s">
        <v>396</v>
      </c>
      <c r="S333" s="59" t="s">
        <v>415</v>
      </c>
      <c r="T333" s="60" t="s">
        <v>397</v>
      </c>
    </row>
  </sheetData>
  <autoFilter ref="A4:AW324" xr:uid="{00000000-0009-0000-0000-000000000000}">
    <sortState xmlns:xlrd2="http://schemas.microsoft.com/office/spreadsheetml/2017/richdata2" ref="A5:AW329">
      <sortCondition descending="1" ref="AI5:AI329"/>
    </sortState>
  </autoFilter>
  <sortState xmlns:xlrd2="http://schemas.microsoft.com/office/spreadsheetml/2017/richdata2" ref="B233:AV268">
    <sortCondition ref="B233"/>
  </sortState>
  <mergeCells count="15">
    <mergeCell ref="B232:F232"/>
    <mergeCell ref="B269:F269"/>
    <mergeCell ref="B273:F273"/>
    <mergeCell ref="B316:F316"/>
    <mergeCell ref="B5:F5"/>
    <mergeCell ref="B195:F195"/>
    <mergeCell ref="B211:F211"/>
    <mergeCell ref="AR326:AV326"/>
    <mergeCell ref="AR1:AV1"/>
    <mergeCell ref="AM2:AQ2"/>
    <mergeCell ref="AM3:AP3"/>
    <mergeCell ref="K1:L1"/>
    <mergeCell ref="J2:L2"/>
    <mergeCell ref="J3:L3"/>
    <mergeCell ref="M1:T1"/>
  </mergeCells>
  <conditionalFormatting sqref="W203:AF204 W256:AF257 W141:AF142 W294:AF298 W176:AF184 M176:T184 W149:AF152 W154:AF174 W186:AF201 W206:AF216 W259:AF292 W306:AF318 M306:T318 W301:AF303 W6:AF25 M6:T25 M27:T27 W27:AF27 W46:AF46 M46:T46 W80:AF81 M83:T85 W83:AF85 M320:T324 W320:AF324 W29:AF38 M29:T38 M300:T303 M40:T43 W40:AF43 W144:AF147 M141:T174 W48:AF78 M48:T81 W91:AF105 W107:AF139 M91:T139 W223:AF254 M186:T298">
    <cfRule type="cellIs" dxfId="230" priority="660" operator="equal">
      <formula>0</formula>
    </cfRule>
  </conditionalFormatting>
  <conditionalFormatting sqref="AG203:AG204 AG256:AG257 AG141:AG142 AG294:AG298 AG176:AG184 AG154:AG174 AG186:AG201 AG206:AG216 AG259:AG292 AG301:AG303 AG306:AG318 AG6:AG25 AG27 AG46 AG80:AG81 AG83:AG85 AG320:AG324 AG29:AG38 AG40:AG43 AG144:AG152 AG48:AG78 AG91:AG105 AG107:AG139 AG223:AG254">
    <cfRule type="cellIs" dxfId="229" priority="647" operator="greaterThan">
      <formula>$AG$2</formula>
    </cfRule>
    <cfRule type="expression" dxfId="228" priority="648">
      <formula>"&lt;$AE$2"</formula>
    </cfRule>
  </conditionalFormatting>
  <conditionalFormatting sqref="AH203:AH204 AH256:AH257 AH141:AH142 AH294:AH298 AH176:AH184 AH154:AH174 AH186:AH201 AH206:AH216 AH259:AH292 AH301:AH303 AH306:AH318 AH6:AH25 AH27 AH46 AH80:AH81 AH83:AH85 AH320:AH324 AH29:AH38 AH40:AH43 AH144:AH152 AH48:AH78 AH91:AH105 AH107:AH139 AH223:AH254">
    <cfRule type="cellIs" dxfId="227" priority="646" operator="greaterThan">
      <formula>$AH$2</formula>
    </cfRule>
  </conditionalFormatting>
  <conditionalFormatting sqref="AJ141:AJ142 AJ176:AJ184 AJ107:AJ110 AJ186:AJ216 AJ306:AJ318 AJ6:AJ25 AJ27 AJ46 AJ80:AJ81 AJ83:AJ85 AJ320:AJ324 AJ29:AJ38 AJ300:AJ303 AJ40:AJ43 AJ144:AJ174 AJ48:AJ78 AJ91:AJ105 AJ112:AJ139 AJ223:AJ298">
    <cfRule type="cellIs" dxfId="226" priority="640" operator="equal">
      <formula>"Q1"</formula>
    </cfRule>
    <cfRule type="cellIs" dxfId="225" priority="641" operator="equal">
      <formula>"Q2"</formula>
    </cfRule>
    <cfRule type="cellIs" dxfId="224" priority="642" operator="equal">
      <formula>"Q3"</formula>
    </cfRule>
    <cfRule type="cellIs" dxfId="223" priority="643" operator="equal">
      <formula>"Q4"</formula>
    </cfRule>
  </conditionalFormatting>
  <conditionalFormatting sqref="W148:AF148">
    <cfRule type="cellIs" dxfId="222" priority="639" operator="equal">
      <formula>0</formula>
    </cfRule>
  </conditionalFormatting>
  <conditionalFormatting sqref="AI58:AJ58">
    <cfRule type="colorScale" priority="599">
      <colorScale>
        <cfvo type="min"/>
        <cfvo type="percentile" val="50"/>
        <cfvo type="max"/>
        <color rgb="FF92D050"/>
        <color rgb="FFFFFF00"/>
        <color rgb="FFFF5050"/>
      </colorScale>
    </cfRule>
    <cfRule type="cellIs" dxfId="221" priority="600" operator="equal">
      <formula>0</formula>
    </cfRule>
  </conditionalFormatting>
  <conditionalFormatting sqref="W153:AF153">
    <cfRule type="cellIs" dxfId="220" priority="594" operator="equal">
      <formula>0</formula>
    </cfRule>
  </conditionalFormatting>
  <conditionalFormatting sqref="AG153">
    <cfRule type="cellIs" dxfId="219" priority="592" operator="greaterThan">
      <formula>$AG$2</formula>
    </cfRule>
    <cfRule type="expression" dxfId="218" priority="593">
      <formula>"&lt;$AE$2"</formula>
    </cfRule>
  </conditionalFormatting>
  <conditionalFormatting sqref="AH153">
    <cfRule type="cellIs" dxfId="217" priority="591" operator="greaterThan">
      <formula>$AH$2</formula>
    </cfRule>
  </conditionalFormatting>
  <conditionalFormatting sqref="AI153">
    <cfRule type="colorScale" priority="589">
      <colorScale>
        <cfvo type="min"/>
        <cfvo type="percentile" val="50"/>
        <cfvo type="max"/>
        <color rgb="FF92D050"/>
        <color rgb="FFFFFF00"/>
        <color rgb="FFFF5050"/>
      </colorScale>
    </cfRule>
    <cfRule type="cellIs" dxfId="216" priority="590" operator="equal">
      <formula>0</formula>
    </cfRule>
  </conditionalFormatting>
  <conditionalFormatting sqref="W293:AF293">
    <cfRule type="cellIs" dxfId="215" priority="588" operator="equal">
      <formula>0</formula>
    </cfRule>
  </conditionalFormatting>
  <conditionalFormatting sqref="AG293">
    <cfRule type="cellIs" dxfId="214" priority="586" operator="greaterThan">
      <formula>$AG$2</formula>
    </cfRule>
    <cfRule type="expression" dxfId="213" priority="587">
      <formula>"&lt;$AE$2"</formula>
    </cfRule>
  </conditionalFormatting>
  <conditionalFormatting sqref="AH293">
    <cfRule type="cellIs" dxfId="212" priority="585" operator="greaterThan">
      <formula>$AH$2</formula>
    </cfRule>
  </conditionalFormatting>
  <conditionalFormatting sqref="AI293">
    <cfRule type="colorScale" priority="583">
      <colorScale>
        <cfvo type="min"/>
        <cfvo type="percentile" val="50"/>
        <cfvo type="max"/>
        <color rgb="FF92D050"/>
        <color rgb="FFFFFF00"/>
        <color rgb="FFFF5050"/>
      </colorScale>
    </cfRule>
    <cfRule type="cellIs" dxfId="211" priority="584" operator="equal">
      <formula>0</formula>
    </cfRule>
  </conditionalFormatting>
  <conditionalFormatting sqref="W300:AF300">
    <cfRule type="cellIs" dxfId="210" priority="582" operator="equal">
      <formula>0</formula>
    </cfRule>
  </conditionalFormatting>
  <conditionalFormatting sqref="AG300">
    <cfRule type="cellIs" dxfId="209" priority="580" operator="greaterThan">
      <formula>$AG$2</formula>
    </cfRule>
    <cfRule type="expression" dxfId="208" priority="581">
      <formula>"&lt;$AE$2"</formula>
    </cfRule>
  </conditionalFormatting>
  <conditionalFormatting sqref="AH300">
    <cfRule type="cellIs" dxfId="207" priority="579" operator="greaterThan">
      <formula>$AH$2</formula>
    </cfRule>
  </conditionalFormatting>
  <conditionalFormatting sqref="AI300">
    <cfRule type="colorScale" priority="577">
      <colorScale>
        <cfvo type="min"/>
        <cfvo type="percentile" val="50"/>
        <cfvo type="max"/>
        <color rgb="FF92D050"/>
        <color rgb="FFFFFF00"/>
        <color rgb="FFFF5050"/>
      </colorScale>
    </cfRule>
    <cfRule type="cellIs" dxfId="206" priority="578" operator="equal">
      <formula>0</formula>
    </cfRule>
  </conditionalFormatting>
  <conditionalFormatting sqref="W258:AF258">
    <cfRule type="cellIs" dxfId="205" priority="576" operator="equal">
      <formula>0</formula>
    </cfRule>
  </conditionalFormatting>
  <conditionalFormatting sqref="AG258">
    <cfRule type="cellIs" dxfId="204" priority="574" operator="greaterThan">
      <formula>$AG$2</formula>
    </cfRule>
    <cfRule type="expression" dxfId="203" priority="575">
      <formula>"&lt;$AE$2"</formula>
    </cfRule>
  </conditionalFormatting>
  <conditionalFormatting sqref="AH258">
    <cfRule type="cellIs" dxfId="202" priority="573" operator="greaterThan">
      <formula>$AH$2</formula>
    </cfRule>
  </conditionalFormatting>
  <conditionalFormatting sqref="AI258">
    <cfRule type="colorScale" priority="571">
      <colorScale>
        <cfvo type="min"/>
        <cfvo type="percentile" val="50"/>
        <cfvo type="max"/>
        <color rgb="FF92D050"/>
        <color rgb="FFFFFF00"/>
        <color rgb="FFFF5050"/>
      </colorScale>
    </cfRule>
    <cfRule type="cellIs" dxfId="201" priority="572" operator="equal">
      <formula>0</formula>
    </cfRule>
  </conditionalFormatting>
  <conditionalFormatting sqref="W205:AF205">
    <cfRule type="cellIs" dxfId="200" priority="528" operator="equal">
      <formula>0</formula>
    </cfRule>
  </conditionalFormatting>
  <conditionalFormatting sqref="AG205">
    <cfRule type="cellIs" dxfId="199" priority="526" operator="greaterThan">
      <formula>$AG$2</formula>
    </cfRule>
    <cfRule type="expression" dxfId="198" priority="527">
      <formula>"&lt;$AE$2"</formula>
    </cfRule>
  </conditionalFormatting>
  <conditionalFormatting sqref="AH205">
    <cfRule type="cellIs" dxfId="197" priority="525" operator="greaterThan">
      <formula>$AH$2</formula>
    </cfRule>
  </conditionalFormatting>
  <conditionalFormatting sqref="AI205">
    <cfRule type="colorScale" priority="523">
      <colorScale>
        <cfvo type="min"/>
        <cfvo type="percentile" val="50"/>
        <cfvo type="max"/>
        <color rgb="FF92D050"/>
        <color rgb="FFFFFF00"/>
        <color rgb="FFFF5050"/>
      </colorScale>
    </cfRule>
    <cfRule type="cellIs" dxfId="196" priority="524" operator="equal">
      <formula>0</formula>
    </cfRule>
  </conditionalFormatting>
  <conditionalFormatting sqref="W202:AF202">
    <cfRule type="cellIs" dxfId="195" priority="510" operator="equal">
      <formula>0</formula>
    </cfRule>
  </conditionalFormatting>
  <conditionalFormatting sqref="AG202">
    <cfRule type="cellIs" dxfId="194" priority="508" operator="greaterThan">
      <formula>$AG$2</formula>
    </cfRule>
    <cfRule type="expression" dxfId="193" priority="509">
      <formula>"&lt;$AE$2"</formula>
    </cfRule>
  </conditionalFormatting>
  <conditionalFormatting sqref="AH202">
    <cfRule type="cellIs" dxfId="192" priority="507" operator="greaterThan">
      <formula>$AH$2</formula>
    </cfRule>
  </conditionalFormatting>
  <conditionalFormatting sqref="AI202">
    <cfRule type="colorScale" priority="505">
      <colorScale>
        <cfvo type="min"/>
        <cfvo type="percentile" val="50"/>
        <cfvo type="max"/>
        <color rgb="FF92D050"/>
        <color rgb="FFFFFF00"/>
        <color rgb="FFFF5050"/>
      </colorScale>
    </cfRule>
    <cfRule type="cellIs" dxfId="191" priority="506" operator="equal">
      <formula>0</formula>
    </cfRule>
  </conditionalFormatting>
  <conditionalFormatting sqref="W143:AF143">
    <cfRule type="cellIs" dxfId="190" priority="504" operator="equal">
      <formula>0</formula>
    </cfRule>
  </conditionalFormatting>
  <conditionalFormatting sqref="AG143">
    <cfRule type="cellIs" dxfId="189" priority="502" operator="greaterThan">
      <formula>$AG$2</formula>
    </cfRule>
    <cfRule type="expression" dxfId="188" priority="503">
      <formula>"&lt;$AE$2"</formula>
    </cfRule>
  </conditionalFormatting>
  <conditionalFormatting sqref="AH143">
    <cfRule type="cellIs" dxfId="187" priority="501" operator="greaterThan">
      <formula>$AH$2</formula>
    </cfRule>
  </conditionalFormatting>
  <conditionalFormatting sqref="AI143:AJ143">
    <cfRule type="colorScale" priority="499">
      <colorScale>
        <cfvo type="min"/>
        <cfvo type="percentile" val="50"/>
        <cfvo type="max"/>
        <color rgb="FF92D050"/>
        <color rgb="FFFFFF00"/>
        <color rgb="FFFF5050"/>
      </colorScale>
    </cfRule>
    <cfRule type="cellIs" dxfId="186" priority="500" operator="equal">
      <formula>0</formula>
    </cfRule>
  </conditionalFormatting>
  <conditionalFormatting sqref="AJ143">
    <cfRule type="cellIs" dxfId="185" priority="495" operator="equal">
      <formula>"Q1"</formula>
    </cfRule>
    <cfRule type="cellIs" dxfId="184" priority="496" operator="equal">
      <formula>"Q2"</formula>
    </cfRule>
    <cfRule type="cellIs" dxfId="183" priority="497" operator="equal">
      <formula>"Q3"</formula>
    </cfRule>
    <cfRule type="cellIs" dxfId="182" priority="498" operator="equal">
      <formula>"Q4"</formula>
    </cfRule>
  </conditionalFormatting>
  <conditionalFormatting sqref="W185:AF185 M185:T185">
    <cfRule type="cellIs" dxfId="181" priority="472" operator="equal">
      <formula>0</formula>
    </cfRule>
  </conditionalFormatting>
  <conditionalFormatting sqref="AG185">
    <cfRule type="cellIs" dxfId="180" priority="470" operator="greaterThan">
      <formula>$AG$2</formula>
    </cfRule>
    <cfRule type="expression" dxfId="179" priority="471">
      <formula>"&lt;$AE$2"</formula>
    </cfRule>
  </conditionalFormatting>
  <conditionalFormatting sqref="AH185">
    <cfRule type="cellIs" dxfId="178" priority="469" operator="greaterThan">
      <formula>$AH$2</formula>
    </cfRule>
  </conditionalFormatting>
  <conditionalFormatting sqref="AI185:AJ185">
    <cfRule type="colorScale" priority="467">
      <colorScale>
        <cfvo type="min"/>
        <cfvo type="percentile" val="50"/>
        <cfvo type="max"/>
        <color rgb="FF92D050"/>
        <color rgb="FFFFFF00"/>
        <color rgb="FFFF5050"/>
      </colorScale>
    </cfRule>
    <cfRule type="cellIs" dxfId="177" priority="468" operator="equal">
      <formula>0</formula>
    </cfRule>
  </conditionalFormatting>
  <conditionalFormatting sqref="AJ185">
    <cfRule type="cellIs" dxfId="176" priority="463" operator="equal">
      <formula>"Q1"</formula>
    </cfRule>
    <cfRule type="cellIs" dxfId="175" priority="464" operator="equal">
      <formula>"Q2"</formula>
    </cfRule>
    <cfRule type="cellIs" dxfId="174" priority="465" operator="equal">
      <formula>"Q3"</formula>
    </cfRule>
    <cfRule type="cellIs" dxfId="173" priority="466" operator="equal">
      <formula>"Q4"</formula>
    </cfRule>
  </conditionalFormatting>
  <conditionalFormatting sqref="W79:AF79">
    <cfRule type="cellIs" dxfId="172" priority="443" operator="equal">
      <formula>0</formula>
    </cfRule>
  </conditionalFormatting>
  <conditionalFormatting sqref="AG79">
    <cfRule type="cellIs" dxfId="171" priority="441" operator="greaterThan">
      <formula>$AG$2</formula>
    </cfRule>
    <cfRule type="expression" dxfId="170" priority="442">
      <formula>"&lt;$AE$2"</formula>
    </cfRule>
  </conditionalFormatting>
  <conditionalFormatting sqref="AH79">
    <cfRule type="cellIs" dxfId="169" priority="440" operator="greaterThan">
      <formula>$AH$2</formula>
    </cfRule>
  </conditionalFormatting>
  <conditionalFormatting sqref="AJ79">
    <cfRule type="cellIs" dxfId="168" priority="434" operator="equal">
      <formula>"Q1"</formula>
    </cfRule>
    <cfRule type="cellIs" dxfId="167" priority="435" operator="equal">
      <formula>"Q2"</formula>
    </cfRule>
    <cfRule type="cellIs" dxfId="166" priority="436" operator="equal">
      <formula>"Q3"</formula>
    </cfRule>
    <cfRule type="cellIs" dxfId="165" priority="437" operator="equal">
      <formula>"Q4"</formula>
    </cfRule>
  </conditionalFormatting>
  <conditionalFormatting sqref="W217:AF222">
    <cfRule type="cellIs" dxfId="164" priority="413" operator="equal">
      <formula>0</formula>
    </cfRule>
  </conditionalFormatting>
  <conditionalFormatting sqref="AG217:AG222">
    <cfRule type="cellIs" dxfId="163" priority="411" operator="greaterThan">
      <formula>$AG$2</formula>
    </cfRule>
    <cfRule type="expression" dxfId="162" priority="412">
      <formula>"&lt;$AE$2"</formula>
    </cfRule>
  </conditionalFormatting>
  <conditionalFormatting sqref="AH217:AH222">
    <cfRule type="cellIs" dxfId="161" priority="410" operator="greaterThan">
      <formula>$AH$2</formula>
    </cfRule>
  </conditionalFormatting>
  <conditionalFormatting sqref="AI217:AJ222">
    <cfRule type="colorScale" priority="408">
      <colorScale>
        <cfvo type="min"/>
        <cfvo type="percentile" val="50"/>
        <cfvo type="max"/>
        <color rgb="FF92D050"/>
        <color rgb="FFFFFF00"/>
        <color rgb="FFFF5050"/>
      </colorScale>
    </cfRule>
    <cfRule type="cellIs" dxfId="160" priority="409" operator="equal">
      <formula>0</formula>
    </cfRule>
  </conditionalFormatting>
  <conditionalFormatting sqref="AJ217:AJ222">
    <cfRule type="cellIs" dxfId="159" priority="404" operator="equal">
      <formula>"Q1"</formula>
    </cfRule>
    <cfRule type="cellIs" dxfId="158" priority="405" operator="equal">
      <formula>"Q2"</formula>
    </cfRule>
    <cfRule type="cellIs" dxfId="157" priority="406" operator="equal">
      <formula>"Q3"</formula>
    </cfRule>
    <cfRule type="cellIs" dxfId="156" priority="407" operator="equal">
      <formula>"Q4"</formula>
    </cfRule>
  </conditionalFormatting>
  <conditionalFormatting sqref="W106:AF106">
    <cfRule type="cellIs" dxfId="155" priority="403" operator="equal">
      <formula>0</formula>
    </cfRule>
  </conditionalFormatting>
  <conditionalFormatting sqref="AG106">
    <cfRule type="cellIs" dxfId="154" priority="401" operator="greaterThan">
      <formula>$AG$2</formula>
    </cfRule>
    <cfRule type="expression" dxfId="153" priority="402">
      <formula>"&lt;$AE$2"</formula>
    </cfRule>
  </conditionalFormatting>
  <conditionalFormatting sqref="AH106">
    <cfRule type="cellIs" dxfId="152" priority="400" operator="greaterThan">
      <formula>$AH$2</formula>
    </cfRule>
  </conditionalFormatting>
  <conditionalFormatting sqref="AI106:AJ106">
    <cfRule type="colorScale" priority="398">
      <colorScale>
        <cfvo type="min"/>
        <cfvo type="percentile" val="50"/>
        <cfvo type="max"/>
        <color rgb="FF92D050"/>
        <color rgb="FFFFFF00"/>
        <color rgb="FFFF5050"/>
      </colorScale>
    </cfRule>
    <cfRule type="cellIs" dxfId="151" priority="399" operator="equal">
      <formula>0</formula>
    </cfRule>
  </conditionalFormatting>
  <conditionalFormatting sqref="AJ106">
    <cfRule type="cellIs" dxfId="150" priority="394" operator="equal">
      <formula>"Q1"</formula>
    </cfRule>
    <cfRule type="cellIs" dxfId="149" priority="395" operator="equal">
      <formula>"Q2"</formula>
    </cfRule>
    <cfRule type="cellIs" dxfId="148" priority="396" operator="equal">
      <formula>"Q3"</formula>
    </cfRule>
    <cfRule type="cellIs" dxfId="147" priority="397" operator="equal">
      <formula>"Q4"</formula>
    </cfRule>
  </conditionalFormatting>
  <conditionalFormatting sqref="W255:AF255">
    <cfRule type="cellIs" dxfId="146" priority="353" operator="equal">
      <formula>0</formula>
    </cfRule>
  </conditionalFormatting>
  <conditionalFormatting sqref="AG255">
    <cfRule type="cellIs" dxfId="145" priority="351" operator="greaterThan">
      <formula>$AG$2</formula>
    </cfRule>
    <cfRule type="expression" dxfId="144" priority="352">
      <formula>"&lt;$AE$2"</formula>
    </cfRule>
  </conditionalFormatting>
  <conditionalFormatting sqref="AH255">
    <cfRule type="cellIs" dxfId="143" priority="350" operator="greaterThan">
      <formula>$AH$2</formula>
    </cfRule>
  </conditionalFormatting>
  <conditionalFormatting sqref="AI255">
    <cfRule type="colorScale" priority="348">
      <colorScale>
        <cfvo type="min"/>
        <cfvo type="percentile" val="50"/>
        <cfvo type="max"/>
        <color rgb="FF92D050"/>
        <color rgb="FFFFFF00"/>
        <color rgb="FFFF5050"/>
      </colorScale>
    </cfRule>
    <cfRule type="cellIs" dxfId="142" priority="349" operator="equal">
      <formula>0</formula>
    </cfRule>
  </conditionalFormatting>
  <conditionalFormatting sqref="AI7">
    <cfRule type="colorScale" priority="320">
      <colorScale>
        <cfvo type="min"/>
        <cfvo type="percentile" val="50"/>
        <cfvo type="max"/>
        <color rgb="FF92D050"/>
        <color rgb="FFFFFF00"/>
        <color rgb="FFFF5050"/>
      </colorScale>
    </cfRule>
    <cfRule type="cellIs" dxfId="141" priority="321" operator="equal">
      <formula>0</formula>
    </cfRule>
  </conditionalFormatting>
  <conditionalFormatting sqref="M86:T90 W86:AF90">
    <cfRule type="cellIs" dxfId="140" priority="287" operator="equal">
      <formula>0</formula>
    </cfRule>
  </conditionalFormatting>
  <conditionalFormatting sqref="AG86:AG90">
    <cfRule type="cellIs" dxfId="139" priority="285" operator="greaterThan">
      <formula>$AG$2</formula>
    </cfRule>
    <cfRule type="expression" dxfId="138" priority="286">
      <formula>"&lt;$AE$2"</formula>
    </cfRule>
  </conditionalFormatting>
  <conditionalFormatting sqref="AH86:AH90">
    <cfRule type="cellIs" dxfId="137" priority="284" operator="greaterThan">
      <formula>$AH$2</formula>
    </cfRule>
  </conditionalFormatting>
  <conditionalFormatting sqref="AJ86:AJ90">
    <cfRule type="cellIs" dxfId="136" priority="280" operator="equal">
      <formula>"Q1"</formula>
    </cfRule>
    <cfRule type="cellIs" dxfId="135" priority="281" operator="equal">
      <formula>"Q2"</formula>
    </cfRule>
    <cfRule type="cellIs" dxfId="134" priority="282" operator="equal">
      <formula>"Q3"</formula>
    </cfRule>
    <cfRule type="cellIs" dxfId="133" priority="283" operator="equal">
      <formula>"Q4"</formula>
    </cfRule>
  </conditionalFormatting>
  <conditionalFormatting sqref="AI86:AJ90">
    <cfRule type="colorScale" priority="288">
      <colorScale>
        <cfvo type="min"/>
        <cfvo type="percentile" val="50"/>
        <cfvo type="max"/>
        <color rgb="FF92D050"/>
        <color rgb="FFFFFF00"/>
        <color rgb="FFFF5050"/>
      </colorScale>
    </cfRule>
    <cfRule type="cellIs" dxfId="132" priority="289" operator="equal">
      <formula>0</formula>
    </cfRule>
  </conditionalFormatting>
  <conditionalFormatting sqref="W304:AF305 M304:T305">
    <cfRule type="cellIs" dxfId="131" priority="277" operator="equal">
      <formula>0</formula>
    </cfRule>
  </conditionalFormatting>
  <conditionalFormatting sqref="AG304:AG305">
    <cfRule type="cellIs" dxfId="130" priority="275" operator="greaterThan">
      <formula>$AG$2</formula>
    </cfRule>
    <cfRule type="expression" dxfId="129" priority="276">
      <formula>"&lt;$AE$2"</formula>
    </cfRule>
  </conditionalFormatting>
  <conditionalFormatting sqref="AH304:AH305">
    <cfRule type="cellIs" dxfId="128" priority="274" operator="greaterThan">
      <formula>$AH$2</formula>
    </cfRule>
  </conditionalFormatting>
  <conditionalFormatting sqref="AJ304:AJ305">
    <cfRule type="cellIs" dxfId="127" priority="270" operator="equal">
      <formula>"Q1"</formula>
    </cfRule>
    <cfRule type="cellIs" dxfId="126" priority="271" operator="equal">
      <formula>"Q2"</formula>
    </cfRule>
    <cfRule type="cellIs" dxfId="125" priority="272" operator="equal">
      <formula>"Q3"</formula>
    </cfRule>
    <cfRule type="cellIs" dxfId="124" priority="273" operator="equal">
      <formula>"Q4"</formula>
    </cfRule>
  </conditionalFormatting>
  <conditionalFormatting sqref="AI304:AJ305">
    <cfRule type="colorScale" priority="278">
      <colorScale>
        <cfvo type="min"/>
        <cfvo type="percentile" val="50"/>
        <cfvo type="max"/>
        <color rgb="FF92D050"/>
        <color rgb="FFFFFF00"/>
        <color rgb="FFFF5050"/>
      </colorScale>
    </cfRule>
    <cfRule type="cellIs" dxfId="123" priority="279" operator="equal">
      <formula>0</formula>
    </cfRule>
  </conditionalFormatting>
  <conditionalFormatting sqref="W175:AF175 M175:T175">
    <cfRule type="cellIs" dxfId="122" priority="265" operator="equal">
      <formula>0</formula>
    </cfRule>
  </conditionalFormatting>
  <conditionalFormatting sqref="AG175">
    <cfRule type="cellIs" dxfId="121" priority="263" operator="greaterThan">
      <formula>$AG$2</formula>
    </cfRule>
    <cfRule type="expression" dxfId="120" priority="264">
      <formula>"&lt;$AE$2"</formula>
    </cfRule>
  </conditionalFormatting>
  <conditionalFormatting sqref="AH175">
    <cfRule type="cellIs" dxfId="119" priority="262" operator="greaterThan">
      <formula>$AH$2</formula>
    </cfRule>
  </conditionalFormatting>
  <conditionalFormatting sqref="AJ175">
    <cfRule type="cellIs" dxfId="118" priority="258" operator="equal">
      <formula>"Q1"</formula>
    </cfRule>
    <cfRule type="cellIs" dxfId="117" priority="259" operator="equal">
      <formula>"Q2"</formula>
    </cfRule>
    <cfRule type="cellIs" dxfId="116" priority="260" operator="equal">
      <formula>"Q3"</formula>
    </cfRule>
    <cfRule type="cellIs" dxfId="115" priority="261" operator="equal">
      <formula>"Q4"</formula>
    </cfRule>
  </conditionalFormatting>
  <conditionalFormatting sqref="AI175:AJ175">
    <cfRule type="colorScale" priority="266">
      <colorScale>
        <cfvo type="min"/>
        <cfvo type="percentile" val="50"/>
        <cfvo type="max"/>
        <color rgb="FF92D050"/>
        <color rgb="FFFFFF00"/>
        <color rgb="FFFF5050"/>
      </colorScale>
    </cfRule>
    <cfRule type="cellIs" dxfId="114" priority="267" operator="equal">
      <formula>0</formula>
    </cfRule>
  </conditionalFormatting>
  <conditionalFormatting sqref="W140:AF140 M140:T140">
    <cfRule type="cellIs" dxfId="113" priority="253" operator="equal">
      <formula>0</formula>
    </cfRule>
  </conditionalFormatting>
  <conditionalFormatting sqref="AG140">
    <cfRule type="cellIs" dxfId="112" priority="251" operator="greaterThan">
      <formula>$AG$2</formula>
    </cfRule>
    <cfRule type="expression" dxfId="111" priority="252">
      <formula>"&lt;$AE$2"</formula>
    </cfRule>
  </conditionalFormatting>
  <conditionalFormatting sqref="AH140">
    <cfRule type="cellIs" dxfId="110" priority="250" operator="greaterThan">
      <formula>$AH$2</formula>
    </cfRule>
  </conditionalFormatting>
  <conditionalFormatting sqref="AJ140">
    <cfRule type="cellIs" dxfId="109" priority="246" operator="equal">
      <formula>"Q1"</formula>
    </cfRule>
    <cfRule type="cellIs" dxfId="108" priority="247" operator="equal">
      <formula>"Q2"</formula>
    </cfRule>
    <cfRule type="cellIs" dxfId="107" priority="248" operator="equal">
      <formula>"Q3"</formula>
    </cfRule>
    <cfRule type="cellIs" dxfId="106" priority="249" operator="equal">
      <formula>"Q4"</formula>
    </cfRule>
  </conditionalFormatting>
  <conditionalFormatting sqref="AI140:AJ140">
    <cfRule type="colorScale" priority="254">
      <colorScale>
        <cfvo type="min"/>
        <cfvo type="percentile" val="50"/>
        <cfvo type="max"/>
        <color rgb="FF92D050"/>
        <color rgb="FFFFFF00"/>
        <color rgb="FFFF5050"/>
      </colorScale>
    </cfRule>
    <cfRule type="cellIs" dxfId="105" priority="255" operator="equal">
      <formula>0</formula>
    </cfRule>
  </conditionalFormatting>
  <conditionalFormatting sqref="AI281:AI282">
    <cfRule type="colorScale" priority="781">
      <colorScale>
        <cfvo type="min"/>
        <cfvo type="percentile" val="50"/>
        <cfvo type="max"/>
        <color rgb="FF92D050"/>
        <color rgb="FFFFFF00"/>
        <color rgb="FFFF5050"/>
      </colorScale>
    </cfRule>
    <cfRule type="cellIs" dxfId="104" priority="782" operator="equal">
      <formula>0</formula>
    </cfRule>
  </conditionalFormatting>
  <conditionalFormatting sqref="AI79:AJ79">
    <cfRule type="colorScale" priority="807">
      <colorScale>
        <cfvo type="min"/>
        <cfvo type="percentile" val="50"/>
        <cfvo type="max"/>
        <color rgb="FF92D050"/>
        <color rgb="FFFFFF00"/>
        <color rgb="FFFF5050"/>
      </colorScale>
    </cfRule>
    <cfRule type="cellIs" dxfId="103" priority="808" operator="equal">
      <formula>0</formula>
    </cfRule>
  </conditionalFormatting>
  <conditionalFormatting sqref="AI25">
    <cfRule type="colorScale" priority="222">
      <colorScale>
        <cfvo type="min"/>
        <cfvo type="percentile" val="50"/>
        <cfvo type="max"/>
        <color rgb="FF92D050"/>
        <color rgb="FFFFFF00"/>
        <color rgb="FFFF5050"/>
      </colorScale>
    </cfRule>
    <cfRule type="cellIs" dxfId="102" priority="223" operator="equal">
      <formula>0</formula>
    </cfRule>
  </conditionalFormatting>
  <conditionalFormatting sqref="AJ25">
    <cfRule type="colorScale" priority="212">
      <colorScale>
        <cfvo type="min"/>
        <cfvo type="percentile" val="50"/>
        <cfvo type="max"/>
        <color rgb="FF92D050"/>
        <color rgb="FFFFFF00"/>
        <color rgb="FFFF5050"/>
      </colorScale>
    </cfRule>
    <cfRule type="cellIs" dxfId="101" priority="213" operator="equal">
      <formula>0</formula>
    </cfRule>
  </conditionalFormatting>
  <conditionalFormatting sqref="AI27">
    <cfRule type="colorScale" priority="195">
      <colorScale>
        <cfvo type="min"/>
        <cfvo type="percentile" val="50"/>
        <cfvo type="max"/>
        <color rgb="FF92D050"/>
        <color rgb="FFFFFF00"/>
        <color rgb="FFFF5050"/>
      </colorScale>
    </cfRule>
    <cfRule type="cellIs" dxfId="100" priority="196" operator="equal">
      <formula>0</formula>
    </cfRule>
  </conditionalFormatting>
  <conditionalFormatting sqref="AJ27">
    <cfRule type="colorScale" priority="193">
      <colorScale>
        <cfvo type="min"/>
        <cfvo type="percentile" val="50"/>
        <cfvo type="max"/>
        <color rgb="FF92D050"/>
        <color rgb="FFFFFF00"/>
        <color rgb="FFFF5050"/>
      </colorScale>
    </cfRule>
    <cfRule type="cellIs" dxfId="99" priority="194" operator="equal">
      <formula>0</formula>
    </cfRule>
  </conditionalFormatting>
  <conditionalFormatting sqref="AI27">
    <cfRule type="colorScale" priority="205">
      <colorScale>
        <cfvo type="min"/>
        <cfvo type="percentile" val="50"/>
        <cfvo type="max"/>
        <color rgb="FF63BE7B"/>
        <color rgb="FFFFEB84"/>
        <color rgb="FFF8696B"/>
      </colorScale>
    </cfRule>
  </conditionalFormatting>
  <conditionalFormatting sqref="AI16">
    <cfRule type="colorScale" priority="184">
      <colorScale>
        <cfvo type="min"/>
        <cfvo type="percentile" val="50"/>
        <cfvo type="max"/>
        <color rgb="FF92D050"/>
        <color rgb="FFFFFF00"/>
        <color rgb="FFFF5050"/>
      </colorScale>
    </cfRule>
    <cfRule type="cellIs" dxfId="98" priority="185" operator="equal">
      <formula>0</formula>
    </cfRule>
  </conditionalFormatting>
  <conditionalFormatting sqref="AI17">
    <cfRule type="colorScale" priority="182">
      <colorScale>
        <cfvo type="min"/>
        <cfvo type="percentile" val="50"/>
        <cfvo type="max"/>
        <color rgb="FF92D050"/>
        <color rgb="FFFFFF00"/>
        <color rgb="FFFF5050"/>
      </colorScale>
    </cfRule>
    <cfRule type="cellIs" dxfId="97" priority="183" operator="equal">
      <formula>0</formula>
    </cfRule>
  </conditionalFormatting>
  <conditionalFormatting sqref="AJ79">
    <cfRule type="cellIs" dxfId="96" priority="178" operator="equal">
      <formula>"Q1"</formula>
    </cfRule>
    <cfRule type="cellIs" dxfId="95" priority="179" operator="equal">
      <formula>"Q2"</formula>
    </cfRule>
    <cfRule type="cellIs" dxfId="94" priority="180" operator="equal">
      <formula>"Q3"</formula>
    </cfRule>
    <cfRule type="cellIs" dxfId="93" priority="181" operator="equal">
      <formula>"Q4"</formula>
    </cfRule>
  </conditionalFormatting>
  <conditionalFormatting sqref="AJ79">
    <cfRule type="colorScale" priority="176">
      <colorScale>
        <cfvo type="min"/>
        <cfvo type="percentile" val="50"/>
        <cfvo type="max"/>
        <color rgb="FF92D050"/>
        <color rgb="FFFFFF00"/>
        <color rgb="FFFF5050"/>
      </colorScale>
    </cfRule>
    <cfRule type="cellIs" dxfId="92" priority="177" operator="equal">
      <formula>0</formula>
    </cfRule>
  </conditionalFormatting>
  <conditionalFormatting sqref="AJ111">
    <cfRule type="cellIs" dxfId="91" priority="172" operator="equal">
      <formula>"Q1"</formula>
    </cfRule>
    <cfRule type="cellIs" dxfId="90" priority="173" operator="equal">
      <formula>"Q2"</formula>
    </cfRule>
    <cfRule type="cellIs" dxfId="89" priority="174" operator="equal">
      <formula>"Q3"</formula>
    </cfRule>
    <cfRule type="cellIs" dxfId="88" priority="175" operator="equal">
      <formula>"Q4"</formula>
    </cfRule>
  </conditionalFormatting>
  <conditionalFormatting sqref="AJ111">
    <cfRule type="colorScale" priority="170">
      <colorScale>
        <cfvo type="min"/>
        <cfvo type="percentile" val="50"/>
        <cfvo type="max"/>
        <color rgb="FF92D050"/>
        <color rgb="FFFFFF00"/>
        <color rgb="FFFF5050"/>
      </colorScale>
    </cfRule>
    <cfRule type="cellIs" dxfId="87" priority="171" operator="equal">
      <formula>0</formula>
    </cfRule>
  </conditionalFormatting>
  <conditionalFormatting sqref="M44:T44 W44:AF44">
    <cfRule type="cellIs" dxfId="86" priority="147" operator="equal">
      <formula>0</formula>
    </cfRule>
  </conditionalFormatting>
  <conditionalFormatting sqref="AG44">
    <cfRule type="cellIs" dxfId="85" priority="145" operator="greaterThan">
      <formula>$AG$2</formula>
    </cfRule>
    <cfRule type="expression" dxfId="84" priority="146">
      <formula>"&lt;$AE$2"</formula>
    </cfRule>
  </conditionalFormatting>
  <conditionalFormatting sqref="AH44">
    <cfRule type="cellIs" dxfId="83" priority="144" operator="greaterThan">
      <formula>$AH$2</formula>
    </cfRule>
  </conditionalFormatting>
  <conditionalFormatting sqref="AJ44">
    <cfRule type="cellIs" dxfId="82" priority="140" operator="equal">
      <formula>"Q1"</formula>
    </cfRule>
    <cfRule type="cellIs" dxfId="81" priority="141" operator="equal">
      <formula>"Q2"</formula>
    </cfRule>
    <cfRule type="cellIs" dxfId="80" priority="142" operator="equal">
      <formula>"Q3"</formula>
    </cfRule>
    <cfRule type="cellIs" dxfId="79" priority="143" operator="equal">
      <formula>"Q4"</formula>
    </cfRule>
  </conditionalFormatting>
  <conditionalFormatting sqref="AI44:AJ44">
    <cfRule type="colorScale" priority="148">
      <colorScale>
        <cfvo type="min"/>
        <cfvo type="percentile" val="50"/>
        <cfvo type="max"/>
        <color rgb="FF92D050"/>
        <color rgb="FFFFFF00"/>
        <color rgb="FFFF5050"/>
      </colorScale>
    </cfRule>
    <cfRule type="cellIs" dxfId="78" priority="149" operator="equal">
      <formula>0</formula>
    </cfRule>
  </conditionalFormatting>
  <conditionalFormatting sqref="AI44">
    <cfRule type="colorScale" priority="150">
      <colorScale>
        <cfvo type="min"/>
        <cfvo type="percentile" val="50"/>
        <cfvo type="max"/>
        <color rgb="FF63BE7B"/>
        <color rgb="FFFFEB84"/>
        <color rgb="FFF8696B"/>
      </colorScale>
    </cfRule>
  </conditionalFormatting>
  <conditionalFormatting sqref="AI44">
    <cfRule type="colorScale" priority="151">
      <colorScale>
        <cfvo type="min"/>
        <cfvo type="percentile" val="50"/>
        <cfvo type="max"/>
        <color rgb="FF63BE7B"/>
        <color rgb="FFFFEB84"/>
        <color rgb="FFF8696B"/>
      </colorScale>
    </cfRule>
  </conditionalFormatting>
  <conditionalFormatting sqref="AI44">
    <cfRule type="colorScale" priority="152">
      <colorScale>
        <cfvo type="min"/>
        <cfvo type="percentile" val="50"/>
        <cfvo type="max"/>
        <color rgb="FF63BE7B"/>
        <color rgb="FFFFEB84"/>
        <color rgb="FFF8696B"/>
      </colorScale>
    </cfRule>
  </conditionalFormatting>
  <conditionalFormatting sqref="AI44">
    <cfRule type="colorScale" priority="153">
      <colorScale>
        <cfvo type="min"/>
        <cfvo type="percentile" val="50"/>
        <cfvo type="max"/>
        <color rgb="FF63BE7B"/>
        <color rgb="FFFFEB84"/>
        <color rgb="FFF8696B"/>
      </colorScale>
    </cfRule>
  </conditionalFormatting>
  <conditionalFormatting sqref="M45:T45 W45:AF45">
    <cfRule type="cellIs" dxfId="77" priority="133" operator="equal">
      <formula>0</formula>
    </cfRule>
  </conditionalFormatting>
  <conditionalFormatting sqref="AG45">
    <cfRule type="cellIs" dxfId="76" priority="131" operator="greaterThan">
      <formula>$AG$2</formula>
    </cfRule>
    <cfRule type="expression" dxfId="75" priority="132">
      <formula>"&lt;$AE$2"</formula>
    </cfRule>
  </conditionalFormatting>
  <conditionalFormatting sqref="AH45">
    <cfRule type="cellIs" dxfId="74" priority="130" operator="greaterThan">
      <formula>$AH$2</formula>
    </cfRule>
  </conditionalFormatting>
  <conditionalFormatting sqref="AJ45">
    <cfRule type="cellIs" dxfId="73" priority="126" operator="equal">
      <formula>"Q1"</formula>
    </cfRule>
    <cfRule type="cellIs" dxfId="72" priority="127" operator="equal">
      <formula>"Q2"</formula>
    </cfRule>
    <cfRule type="cellIs" dxfId="71" priority="128" operator="equal">
      <formula>"Q3"</formula>
    </cfRule>
    <cfRule type="cellIs" dxfId="70" priority="129" operator="equal">
      <formula>"Q4"</formula>
    </cfRule>
  </conditionalFormatting>
  <conditionalFormatting sqref="AI45:AJ45">
    <cfRule type="colorScale" priority="134">
      <colorScale>
        <cfvo type="min"/>
        <cfvo type="percentile" val="50"/>
        <cfvo type="max"/>
        <color rgb="FF92D050"/>
        <color rgb="FFFFFF00"/>
        <color rgb="FFFF5050"/>
      </colorScale>
    </cfRule>
    <cfRule type="cellIs" dxfId="69" priority="135" operator="equal">
      <formula>0</formula>
    </cfRule>
  </conditionalFormatting>
  <conditionalFormatting sqref="AI45">
    <cfRule type="colorScale" priority="136">
      <colorScale>
        <cfvo type="min"/>
        <cfvo type="percentile" val="50"/>
        <cfvo type="max"/>
        <color rgb="FF63BE7B"/>
        <color rgb="FFFFEB84"/>
        <color rgb="FFF8696B"/>
      </colorScale>
    </cfRule>
  </conditionalFormatting>
  <conditionalFormatting sqref="AI45">
    <cfRule type="colorScale" priority="137">
      <colorScale>
        <cfvo type="min"/>
        <cfvo type="percentile" val="50"/>
        <cfvo type="max"/>
        <color rgb="FF63BE7B"/>
        <color rgb="FFFFEB84"/>
        <color rgb="FFF8696B"/>
      </colorScale>
    </cfRule>
  </conditionalFormatting>
  <conditionalFormatting sqref="AI45">
    <cfRule type="colorScale" priority="138">
      <colorScale>
        <cfvo type="min"/>
        <cfvo type="percentile" val="50"/>
        <cfvo type="max"/>
        <color rgb="FF63BE7B"/>
        <color rgb="FFFFEB84"/>
        <color rgb="FFF8696B"/>
      </colorScale>
    </cfRule>
  </conditionalFormatting>
  <conditionalFormatting sqref="AI45">
    <cfRule type="colorScale" priority="139">
      <colorScale>
        <cfvo type="min"/>
        <cfvo type="percentile" val="50"/>
        <cfvo type="max"/>
        <color rgb="FF63BE7B"/>
        <color rgb="FFFFEB84"/>
        <color rgb="FFF8696B"/>
      </colorScale>
    </cfRule>
  </conditionalFormatting>
  <conditionalFormatting sqref="M47:T47 W47:AF47">
    <cfRule type="cellIs" dxfId="68" priority="119" operator="equal">
      <formula>0</formula>
    </cfRule>
  </conditionalFormatting>
  <conditionalFormatting sqref="AG47">
    <cfRule type="cellIs" dxfId="67" priority="117" operator="greaterThan">
      <formula>$AG$2</formula>
    </cfRule>
    <cfRule type="expression" dxfId="66" priority="118">
      <formula>"&lt;$AE$2"</formula>
    </cfRule>
  </conditionalFormatting>
  <conditionalFormatting sqref="AH47">
    <cfRule type="cellIs" dxfId="65" priority="116" operator="greaterThan">
      <formula>$AH$2</formula>
    </cfRule>
  </conditionalFormatting>
  <conditionalFormatting sqref="AJ47">
    <cfRule type="cellIs" dxfId="64" priority="112" operator="equal">
      <formula>"Q1"</formula>
    </cfRule>
    <cfRule type="cellIs" dxfId="63" priority="113" operator="equal">
      <formula>"Q2"</formula>
    </cfRule>
    <cfRule type="cellIs" dxfId="62" priority="114" operator="equal">
      <formula>"Q3"</formula>
    </cfRule>
    <cfRule type="cellIs" dxfId="61" priority="115" operator="equal">
      <formula>"Q4"</formula>
    </cfRule>
  </conditionalFormatting>
  <conditionalFormatting sqref="AI47:AJ47">
    <cfRule type="colorScale" priority="120">
      <colorScale>
        <cfvo type="min"/>
        <cfvo type="percentile" val="50"/>
        <cfvo type="max"/>
        <color rgb="FF92D050"/>
        <color rgb="FFFFFF00"/>
        <color rgb="FFFF5050"/>
      </colorScale>
    </cfRule>
    <cfRule type="cellIs" dxfId="60" priority="121" operator="equal">
      <formula>0</formula>
    </cfRule>
  </conditionalFormatting>
  <conditionalFormatting sqref="AI47">
    <cfRule type="colorScale" priority="122">
      <colorScale>
        <cfvo type="min"/>
        <cfvo type="percentile" val="50"/>
        <cfvo type="max"/>
        <color rgb="FF63BE7B"/>
        <color rgb="FFFFEB84"/>
        <color rgb="FFF8696B"/>
      </colorScale>
    </cfRule>
  </conditionalFormatting>
  <conditionalFormatting sqref="AI47">
    <cfRule type="colorScale" priority="123">
      <colorScale>
        <cfvo type="min"/>
        <cfvo type="percentile" val="50"/>
        <cfvo type="max"/>
        <color rgb="FF63BE7B"/>
        <color rgb="FFFFEB84"/>
        <color rgb="FFF8696B"/>
      </colorScale>
    </cfRule>
  </conditionalFormatting>
  <conditionalFormatting sqref="AI47">
    <cfRule type="colorScale" priority="124">
      <colorScale>
        <cfvo type="min"/>
        <cfvo type="percentile" val="50"/>
        <cfvo type="max"/>
        <color rgb="FF63BE7B"/>
        <color rgb="FFFFEB84"/>
        <color rgb="FFF8696B"/>
      </colorScale>
    </cfRule>
  </conditionalFormatting>
  <conditionalFormatting sqref="AI47">
    <cfRule type="colorScale" priority="125">
      <colorScale>
        <cfvo type="min"/>
        <cfvo type="percentile" val="50"/>
        <cfvo type="max"/>
        <color rgb="FF63BE7B"/>
        <color rgb="FFFFEB84"/>
        <color rgb="FFF8696B"/>
      </colorScale>
    </cfRule>
  </conditionalFormatting>
  <conditionalFormatting sqref="AI306:AJ318 AI320:AJ321">
    <cfRule type="colorScale" priority="5738">
      <colorScale>
        <cfvo type="min"/>
        <cfvo type="percentile" val="50"/>
        <cfvo type="max"/>
        <color rgb="FF92D050"/>
        <color rgb="FFFFFF00"/>
        <color rgb="FFFF5050"/>
      </colorScale>
    </cfRule>
    <cfRule type="cellIs" dxfId="59" priority="5739" operator="equal">
      <formula>0</formula>
    </cfRule>
  </conditionalFormatting>
  <conditionalFormatting sqref="W26:AF26 M26:T26">
    <cfRule type="cellIs" dxfId="58" priority="105" operator="equal">
      <formula>0</formula>
    </cfRule>
  </conditionalFormatting>
  <conditionalFormatting sqref="W28:AF28 M28:T28">
    <cfRule type="cellIs" dxfId="57" priority="104" operator="equal">
      <formula>0</formula>
    </cfRule>
  </conditionalFormatting>
  <conditionalFormatting sqref="W39:AF39 M39:T39">
    <cfRule type="cellIs" dxfId="56" priority="102" operator="equal">
      <formula>0</formula>
    </cfRule>
  </conditionalFormatting>
  <conditionalFormatting sqref="W319:AF319 M319:T319">
    <cfRule type="cellIs" dxfId="55" priority="101" operator="equal">
      <formula>0</formula>
    </cfRule>
  </conditionalFormatting>
  <conditionalFormatting sqref="W299:AF299 M299:T299">
    <cfRule type="cellIs" dxfId="54" priority="100" operator="equal">
      <formula>0</formula>
    </cfRule>
  </conditionalFormatting>
  <conditionalFormatting sqref="W82:AF82 M82:T82">
    <cfRule type="cellIs" dxfId="53" priority="98" operator="equal">
      <formula>0</formula>
    </cfRule>
  </conditionalFormatting>
  <conditionalFormatting sqref="AI322:AJ324">
    <cfRule type="colorScale" priority="6242">
      <colorScale>
        <cfvo type="min"/>
        <cfvo type="percentile" val="50"/>
        <cfvo type="max"/>
        <color rgb="FF92D050"/>
        <color rgb="FFFFFF00"/>
        <color rgb="FFFF5050"/>
      </colorScale>
    </cfRule>
    <cfRule type="cellIs" dxfId="52" priority="6243" operator="equal">
      <formula>0</formula>
    </cfRule>
  </conditionalFormatting>
  <conditionalFormatting sqref="AG82">
    <cfRule type="cellIs" dxfId="51" priority="90" operator="greaterThan">
      <formula>$AG$2</formula>
    </cfRule>
    <cfRule type="expression" dxfId="50" priority="91">
      <formula>"&lt;$AE$2"</formula>
    </cfRule>
  </conditionalFormatting>
  <conditionalFormatting sqref="AH82">
    <cfRule type="cellIs" dxfId="49" priority="89" operator="greaterThan">
      <formula>$AH$2</formula>
    </cfRule>
  </conditionalFormatting>
  <conditionalFormatting sqref="AJ82">
    <cfRule type="cellIs" dxfId="48" priority="85" operator="equal">
      <formula>"Q1"</formula>
    </cfRule>
    <cfRule type="cellIs" dxfId="47" priority="86" operator="equal">
      <formula>"Q2"</formula>
    </cfRule>
    <cfRule type="cellIs" dxfId="46" priority="87" operator="equal">
      <formula>"Q3"</formula>
    </cfRule>
    <cfRule type="cellIs" dxfId="45" priority="88" operator="equal">
      <formula>"Q4"</formula>
    </cfRule>
  </conditionalFormatting>
  <conditionalFormatting sqref="AI82:AJ82">
    <cfRule type="colorScale" priority="92">
      <colorScale>
        <cfvo type="min"/>
        <cfvo type="percentile" val="50"/>
        <cfvo type="max"/>
        <color rgb="FF92D050"/>
        <color rgb="FFFFFF00"/>
        <color rgb="FFFF5050"/>
      </colorScale>
    </cfRule>
    <cfRule type="cellIs" dxfId="44" priority="93" operator="equal">
      <formula>0</formula>
    </cfRule>
  </conditionalFormatting>
  <conditionalFormatting sqref="AI82">
    <cfRule type="colorScale" priority="94">
      <colorScale>
        <cfvo type="min"/>
        <cfvo type="percentile" val="50"/>
        <cfvo type="max"/>
        <color rgb="FF63BE7B"/>
        <color rgb="FFFFEB84"/>
        <color rgb="FFF8696B"/>
      </colorScale>
    </cfRule>
  </conditionalFormatting>
  <conditionalFormatting sqref="AI82">
    <cfRule type="colorScale" priority="95">
      <colorScale>
        <cfvo type="min"/>
        <cfvo type="percentile" val="50"/>
        <cfvo type="max"/>
        <color rgb="FF63BE7B"/>
        <color rgb="FFFFEB84"/>
        <color rgb="FFF8696B"/>
      </colorScale>
    </cfRule>
  </conditionalFormatting>
  <conditionalFormatting sqref="AI82">
    <cfRule type="colorScale" priority="96">
      <colorScale>
        <cfvo type="min"/>
        <cfvo type="percentile" val="50"/>
        <cfvo type="max"/>
        <color rgb="FF63BE7B"/>
        <color rgb="FFFFEB84"/>
        <color rgb="FFF8696B"/>
      </colorScale>
    </cfRule>
  </conditionalFormatting>
  <conditionalFormatting sqref="AI82">
    <cfRule type="colorScale" priority="97">
      <colorScale>
        <cfvo type="min"/>
        <cfvo type="percentile" val="50"/>
        <cfvo type="max"/>
        <color rgb="FF63BE7B"/>
        <color rgb="FFFFEB84"/>
        <color rgb="FFF8696B"/>
      </colorScale>
    </cfRule>
  </conditionalFormatting>
  <conditionalFormatting sqref="AG26">
    <cfRule type="cellIs" dxfId="43" priority="77" operator="greaterThan">
      <formula>$AG$2</formula>
    </cfRule>
    <cfRule type="expression" dxfId="42" priority="78">
      <formula>"&lt;$AE$2"</formula>
    </cfRule>
  </conditionalFormatting>
  <conditionalFormatting sqref="AH26">
    <cfRule type="cellIs" dxfId="41" priority="76" operator="greaterThan">
      <formula>$AH$2</formula>
    </cfRule>
  </conditionalFormatting>
  <conditionalFormatting sqref="AJ26">
    <cfRule type="cellIs" dxfId="40" priority="72" operator="equal">
      <formula>"Q1"</formula>
    </cfRule>
    <cfRule type="cellIs" dxfId="39" priority="73" operator="equal">
      <formula>"Q2"</formula>
    </cfRule>
    <cfRule type="cellIs" dxfId="38" priority="74" operator="equal">
      <formula>"Q3"</formula>
    </cfRule>
    <cfRule type="cellIs" dxfId="37" priority="75" operator="equal">
      <formula>"Q4"</formula>
    </cfRule>
  </conditionalFormatting>
  <conditionalFormatting sqref="AI26:AJ26">
    <cfRule type="colorScale" priority="79">
      <colorScale>
        <cfvo type="min"/>
        <cfvo type="percentile" val="50"/>
        <cfvo type="max"/>
        <color rgb="FF92D050"/>
        <color rgb="FFFFFF00"/>
        <color rgb="FFFF5050"/>
      </colorScale>
    </cfRule>
    <cfRule type="cellIs" dxfId="36" priority="80" operator="equal">
      <formula>0</formula>
    </cfRule>
  </conditionalFormatting>
  <conditionalFormatting sqref="AI26">
    <cfRule type="colorScale" priority="81">
      <colorScale>
        <cfvo type="min"/>
        <cfvo type="percentile" val="50"/>
        <cfvo type="max"/>
        <color rgb="FF63BE7B"/>
        <color rgb="FFFFEB84"/>
        <color rgb="FFF8696B"/>
      </colorScale>
    </cfRule>
  </conditionalFormatting>
  <conditionalFormatting sqref="AI26">
    <cfRule type="colorScale" priority="82">
      <colorScale>
        <cfvo type="min"/>
        <cfvo type="percentile" val="50"/>
        <cfvo type="max"/>
        <color rgb="FF63BE7B"/>
        <color rgb="FFFFEB84"/>
        <color rgb="FFF8696B"/>
      </colorScale>
    </cfRule>
  </conditionalFormatting>
  <conditionalFormatting sqref="AI26">
    <cfRule type="colorScale" priority="83">
      <colorScale>
        <cfvo type="min"/>
        <cfvo type="percentile" val="50"/>
        <cfvo type="max"/>
        <color rgb="FF63BE7B"/>
        <color rgb="FFFFEB84"/>
        <color rgb="FFF8696B"/>
      </colorScale>
    </cfRule>
  </conditionalFormatting>
  <conditionalFormatting sqref="AI26">
    <cfRule type="colorScale" priority="84">
      <colorScale>
        <cfvo type="min"/>
        <cfvo type="percentile" val="50"/>
        <cfvo type="max"/>
        <color rgb="FF63BE7B"/>
        <color rgb="FFFFEB84"/>
        <color rgb="FFF8696B"/>
      </colorScale>
    </cfRule>
  </conditionalFormatting>
  <conditionalFormatting sqref="AG28">
    <cfRule type="cellIs" dxfId="35" priority="64" operator="greaterThan">
      <formula>$AG$2</formula>
    </cfRule>
    <cfRule type="expression" dxfId="34" priority="65">
      <formula>"&lt;$AE$2"</formula>
    </cfRule>
  </conditionalFormatting>
  <conditionalFormatting sqref="AH28">
    <cfRule type="cellIs" dxfId="33" priority="63" operator="greaterThan">
      <formula>$AH$2</formula>
    </cfRule>
  </conditionalFormatting>
  <conditionalFormatting sqref="AJ28">
    <cfRule type="cellIs" dxfId="32" priority="59" operator="equal">
      <formula>"Q1"</formula>
    </cfRule>
    <cfRule type="cellIs" dxfId="31" priority="60" operator="equal">
      <formula>"Q2"</formula>
    </cfRule>
    <cfRule type="cellIs" dxfId="30" priority="61" operator="equal">
      <formula>"Q3"</formula>
    </cfRule>
    <cfRule type="cellIs" dxfId="29" priority="62" operator="equal">
      <formula>"Q4"</formula>
    </cfRule>
  </conditionalFormatting>
  <conditionalFormatting sqref="AI28:AJ28">
    <cfRule type="colorScale" priority="66">
      <colorScale>
        <cfvo type="min"/>
        <cfvo type="percentile" val="50"/>
        <cfvo type="max"/>
        <color rgb="FF92D050"/>
        <color rgb="FFFFFF00"/>
        <color rgb="FFFF5050"/>
      </colorScale>
    </cfRule>
    <cfRule type="cellIs" dxfId="28" priority="67" operator="equal">
      <formula>0</formula>
    </cfRule>
  </conditionalFormatting>
  <conditionalFormatting sqref="AI28">
    <cfRule type="colorScale" priority="68">
      <colorScale>
        <cfvo type="min"/>
        <cfvo type="percentile" val="50"/>
        <cfvo type="max"/>
        <color rgb="FF63BE7B"/>
        <color rgb="FFFFEB84"/>
        <color rgb="FFF8696B"/>
      </colorScale>
    </cfRule>
  </conditionalFormatting>
  <conditionalFormatting sqref="AI28">
    <cfRule type="colorScale" priority="69">
      <colorScale>
        <cfvo type="min"/>
        <cfvo type="percentile" val="50"/>
        <cfvo type="max"/>
        <color rgb="FF63BE7B"/>
        <color rgb="FFFFEB84"/>
        <color rgb="FFF8696B"/>
      </colorScale>
    </cfRule>
  </conditionalFormatting>
  <conditionalFormatting sqref="AI28">
    <cfRule type="colorScale" priority="70">
      <colorScale>
        <cfvo type="min"/>
        <cfvo type="percentile" val="50"/>
        <cfvo type="max"/>
        <color rgb="FF63BE7B"/>
        <color rgb="FFFFEB84"/>
        <color rgb="FFF8696B"/>
      </colorScale>
    </cfRule>
  </conditionalFormatting>
  <conditionalFormatting sqref="AI28">
    <cfRule type="colorScale" priority="71">
      <colorScale>
        <cfvo type="min"/>
        <cfvo type="percentile" val="50"/>
        <cfvo type="max"/>
        <color rgb="FF63BE7B"/>
        <color rgb="FFFFEB84"/>
        <color rgb="FFF8696B"/>
      </colorScale>
    </cfRule>
  </conditionalFormatting>
  <conditionalFormatting sqref="AG39">
    <cfRule type="cellIs" dxfId="27" priority="51" operator="greaterThan">
      <formula>$AG$2</formula>
    </cfRule>
    <cfRule type="expression" dxfId="26" priority="52">
      <formula>"&lt;$AE$2"</formula>
    </cfRule>
  </conditionalFormatting>
  <conditionalFormatting sqref="AH39">
    <cfRule type="cellIs" dxfId="25" priority="50" operator="greaterThan">
      <formula>$AH$2</formula>
    </cfRule>
  </conditionalFormatting>
  <conditionalFormatting sqref="AJ39">
    <cfRule type="cellIs" dxfId="24" priority="46" operator="equal">
      <formula>"Q1"</formula>
    </cfRule>
    <cfRule type="cellIs" dxfId="23" priority="47" operator="equal">
      <formula>"Q2"</formula>
    </cfRule>
    <cfRule type="cellIs" dxfId="22" priority="48" operator="equal">
      <formula>"Q3"</formula>
    </cfRule>
    <cfRule type="cellIs" dxfId="21" priority="49" operator="equal">
      <formula>"Q4"</formula>
    </cfRule>
  </conditionalFormatting>
  <conditionalFormatting sqref="AI39:AJ39">
    <cfRule type="colorScale" priority="53">
      <colorScale>
        <cfvo type="min"/>
        <cfvo type="percentile" val="50"/>
        <cfvo type="max"/>
        <color rgb="FF92D050"/>
        <color rgb="FFFFFF00"/>
        <color rgb="FFFF5050"/>
      </colorScale>
    </cfRule>
    <cfRule type="cellIs" dxfId="20" priority="54" operator="equal">
      <formula>0</formula>
    </cfRule>
  </conditionalFormatting>
  <conditionalFormatting sqref="AI39">
    <cfRule type="colorScale" priority="55">
      <colorScale>
        <cfvo type="min"/>
        <cfvo type="percentile" val="50"/>
        <cfvo type="max"/>
        <color rgb="FF63BE7B"/>
        <color rgb="FFFFEB84"/>
        <color rgb="FFF8696B"/>
      </colorScale>
    </cfRule>
  </conditionalFormatting>
  <conditionalFormatting sqref="AI39">
    <cfRule type="colorScale" priority="56">
      <colorScale>
        <cfvo type="min"/>
        <cfvo type="percentile" val="50"/>
        <cfvo type="max"/>
        <color rgb="FF63BE7B"/>
        <color rgb="FFFFEB84"/>
        <color rgb="FFF8696B"/>
      </colorScale>
    </cfRule>
  </conditionalFormatting>
  <conditionalFormatting sqref="AI39">
    <cfRule type="colorScale" priority="57">
      <colorScale>
        <cfvo type="min"/>
        <cfvo type="percentile" val="50"/>
        <cfvo type="max"/>
        <color rgb="FF63BE7B"/>
        <color rgb="FFFFEB84"/>
        <color rgb="FFF8696B"/>
      </colorScale>
    </cfRule>
  </conditionalFormatting>
  <conditionalFormatting sqref="AI39">
    <cfRule type="colorScale" priority="58">
      <colorScale>
        <cfvo type="min"/>
        <cfvo type="percentile" val="50"/>
        <cfvo type="max"/>
        <color rgb="FF63BE7B"/>
        <color rgb="FFFFEB84"/>
        <color rgb="FFF8696B"/>
      </colorScale>
    </cfRule>
  </conditionalFormatting>
  <conditionalFormatting sqref="AG319">
    <cfRule type="cellIs" dxfId="19" priority="38" operator="greaterThan">
      <formula>$AG$2</formula>
    </cfRule>
    <cfRule type="expression" dxfId="18" priority="39">
      <formula>"&lt;$AE$2"</formula>
    </cfRule>
  </conditionalFormatting>
  <conditionalFormatting sqref="AH319">
    <cfRule type="cellIs" dxfId="17" priority="37" operator="greaterThan">
      <formula>$AH$2</formula>
    </cfRule>
  </conditionalFormatting>
  <conditionalFormatting sqref="AJ319">
    <cfRule type="cellIs" dxfId="16" priority="33" operator="equal">
      <formula>"Q1"</formula>
    </cfRule>
    <cfRule type="cellIs" dxfId="15" priority="34" operator="equal">
      <formula>"Q2"</formula>
    </cfRule>
    <cfRule type="cellIs" dxfId="14" priority="35" operator="equal">
      <formula>"Q3"</formula>
    </cfRule>
    <cfRule type="cellIs" dxfId="13" priority="36" operator="equal">
      <formula>"Q4"</formula>
    </cfRule>
  </conditionalFormatting>
  <conditionalFormatting sqref="AI319:AJ319">
    <cfRule type="colorScale" priority="40">
      <colorScale>
        <cfvo type="min"/>
        <cfvo type="percentile" val="50"/>
        <cfvo type="max"/>
        <color rgb="FF92D050"/>
        <color rgb="FFFFFF00"/>
        <color rgb="FFFF5050"/>
      </colorScale>
    </cfRule>
    <cfRule type="cellIs" dxfId="12" priority="41" operator="equal">
      <formula>0</formula>
    </cfRule>
  </conditionalFormatting>
  <conditionalFormatting sqref="AI319">
    <cfRule type="colorScale" priority="42">
      <colorScale>
        <cfvo type="min"/>
        <cfvo type="percentile" val="50"/>
        <cfvo type="max"/>
        <color rgb="FF63BE7B"/>
        <color rgb="FFFFEB84"/>
        <color rgb="FFF8696B"/>
      </colorScale>
    </cfRule>
  </conditionalFormatting>
  <conditionalFormatting sqref="AI319">
    <cfRule type="colorScale" priority="43">
      <colorScale>
        <cfvo type="min"/>
        <cfvo type="percentile" val="50"/>
        <cfvo type="max"/>
        <color rgb="FF63BE7B"/>
        <color rgb="FFFFEB84"/>
        <color rgb="FFF8696B"/>
      </colorScale>
    </cfRule>
  </conditionalFormatting>
  <conditionalFormatting sqref="AI319">
    <cfRule type="colorScale" priority="44">
      <colorScale>
        <cfvo type="min"/>
        <cfvo type="percentile" val="50"/>
        <cfvo type="max"/>
        <color rgb="FF63BE7B"/>
        <color rgb="FFFFEB84"/>
        <color rgb="FFF8696B"/>
      </colorScale>
    </cfRule>
  </conditionalFormatting>
  <conditionalFormatting sqref="AI319">
    <cfRule type="colorScale" priority="45">
      <colorScale>
        <cfvo type="min"/>
        <cfvo type="percentile" val="50"/>
        <cfvo type="max"/>
        <color rgb="FF63BE7B"/>
        <color rgb="FFFFEB84"/>
        <color rgb="FFF8696B"/>
      </colorScale>
    </cfRule>
  </conditionalFormatting>
  <conditionalFormatting sqref="AG299">
    <cfRule type="cellIs" dxfId="11" priority="25" operator="greaterThan">
      <formula>$AG$2</formula>
    </cfRule>
    <cfRule type="expression" dxfId="10" priority="26">
      <formula>"&lt;$AE$2"</formula>
    </cfRule>
  </conditionalFormatting>
  <conditionalFormatting sqref="AH299">
    <cfRule type="cellIs" dxfId="9" priority="24" operator="greaterThan">
      <formula>$AH$2</formula>
    </cfRule>
  </conditionalFormatting>
  <conditionalFormatting sqref="AJ299">
    <cfRule type="cellIs" dxfId="8" priority="20" operator="equal">
      <formula>"Q1"</formula>
    </cfRule>
    <cfRule type="cellIs" dxfId="7" priority="21" operator="equal">
      <formula>"Q2"</formula>
    </cfRule>
    <cfRule type="cellIs" dxfId="6" priority="22" operator="equal">
      <formula>"Q3"</formula>
    </cfRule>
    <cfRule type="cellIs" dxfId="5" priority="23" operator="equal">
      <formula>"Q4"</formula>
    </cfRule>
  </conditionalFormatting>
  <conditionalFormatting sqref="AI299:AJ299">
    <cfRule type="colorScale" priority="27">
      <colorScale>
        <cfvo type="min"/>
        <cfvo type="percentile" val="50"/>
        <cfvo type="max"/>
        <color rgb="FF92D050"/>
        <color rgb="FFFFFF00"/>
        <color rgb="FFFF5050"/>
      </colorScale>
    </cfRule>
    <cfRule type="cellIs" dxfId="4" priority="28" operator="equal">
      <formula>0</formula>
    </cfRule>
  </conditionalFormatting>
  <conditionalFormatting sqref="AI299">
    <cfRule type="colorScale" priority="29">
      <colorScale>
        <cfvo type="min"/>
        <cfvo type="percentile" val="50"/>
        <cfvo type="max"/>
        <color rgb="FF63BE7B"/>
        <color rgb="FFFFEB84"/>
        <color rgb="FFF8696B"/>
      </colorScale>
    </cfRule>
  </conditionalFormatting>
  <conditionalFormatting sqref="AI299">
    <cfRule type="colorScale" priority="30">
      <colorScale>
        <cfvo type="min"/>
        <cfvo type="percentile" val="50"/>
        <cfvo type="max"/>
        <color rgb="FF63BE7B"/>
        <color rgb="FFFFEB84"/>
        <color rgb="FFF8696B"/>
      </colorScale>
    </cfRule>
  </conditionalFormatting>
  <conditionalFormatting sqref="AI299">
    <cfRule type="colorScale" priority="31">
      <colorScale>
        <cfvo type="min"/>
        <cfvo type="percentile" val="50"/>
        <cfvo type="max"/>
        <color rgb="FF63BE7B"/>
        <color rgb="FFFFEB84"/>
        <color rgb="FFF8696B"/>
      </colorScale>
    </cfRule>
  </conditionalFormatting>
  <conditionalFormatting sqref="AI299">
    <cfRule type="colorScale" priority="32">
      <colorScale>
        <cfvo type="min"/>
        <cfvo type="percentile" val="50"/>
        <cfvo type="max"/>
        <color rgb="FF63BE7B"/>
        <color rgb="FFFFEB84"/>
        <color rgb="FFF8696B"/>
      </colorScale>
    </cfRule>
  </conditionalFormatting>
  <conditionalFormatting sqref="AI10">
    <cfRule type="colorScale" priority="6369">
      <colorScale>
        <cfvo type="min"/>
        <cfvo type="percentile" val="50"/>
        <cfvo type="max"/>
        <color rgb="FF92D050"/>
        <color rgb="FFFFFF00"/>
        <color rgb="FFFF5050"/>
      </colorScale>
    </cfRule>
    <cfRule type="cellIs" dxfId="3" priority="6370" operator="equal">
      <formula>0</formula>
    </cfRule>
  </conditionalFormatting>
  <conditionalFormatting sqref="AI13:AI15 AI11">
    <cfRule type="colorScale" priority="6391">
      <colorScale>
        <cfvo type="min"/>
        <cfvo type="percentile" val="50"/>
        <cfvo type="max"/>
        <color rgb="FF92D050"/>
        <color rgb="FFFFFF00"/>
        <color rgb="FFFF5050"/>
      </colorScale>
    </cfRule>
    <cfRule type="cellIs" dxfId="2" priority="6392" operator="equal">
      <formula>0</formula>
    </cfRule>
  </conditionalFormatting>
  <conditionalFormatting sqref="AI10:AI11 AI13:AI17">
    <cfRule type="colorScale" priority="6579">
      <colorScale>
        <cfvo type="min"/>
        <cfvo type="percentile" val="50"/>
        <cfvo type="max"/>
        <color rgb="FF92D050"/>
        <color rgb="FFFFFF00"/>
        <color rgb="FFFF5050"/>
      </colorScale>
    </cfRule>
    <cfRule type="cellIs" dxfId="1" priority="6580" operator="equal">
      <formula>0</formula>
    </cfRule>
  </conditionalFormatting>
  <conditionalFormatting sqref="AI301:AJ303 AI283:AJ292 AI203:AJ204 AI144:AJ152 AI186:AJ201 AI80:AJ81 AJ153 AJ202 AJ205 AI206:AJ216 AJ258 AJ281:AJ282 AJ293 AJ300 AI6:AJ6 AI294:AJ298 AI259:AJ280 AI256:AJ257 AJ255 AJ7 AI8:AJ9 AI176:AJ184 AI141:AJ142 AI154:AJ174 AI107:AI111 AJ107:AJ110 AI112:AJ139 AI46:AJ46 AI12:AJ12 AJ10:AJ11 AI18:AJ24 AI29:AJ38 AI91:AJ105 AI223:AJ254 AI48:AJ57 AJ13:AJ17 AI83:AJ85 AI40:AJ43 AI59:AJ78">
    <cfRule type="colorScale" priority="6599">
      <colorScale>
        <cfvo type="min"/>
        <cfvo type="percentile" val="50"/>
        <cfvo type="max"/>
        <color rgb="FF92D050"/>
        <color rgb="FFFFFF00"/>
        <color rgb="FFFF5050"/>
      </colorScale>
    </cfRule>
    <cfRule type="cellIs" dxfId="0" priority="6600" operator="equal">
      <formula>0</formula>
    </cfRule>
  </conditionalFormatting>
  <conditionalFormatting sqref="AI320:AI324 AI29:AI38 AI46 AI4:AI25 AI83:AI298 AI300:AI318 AI40:AI43 AI48:AI81">
    <cfRule type="colorScale" priority="6619">
      <colorScale>
        <cfvo type="min"/>
        <cfvo type="percentile" val="50"/>
        <cfvo type="max"/>
        <color rgb="FF63BE7B"/>
        <color rgb="FFFFEB84"/>
        <color rgb="FFF8696B"/>
      </colorScale>
    </cfRule>
  </conditionalFormatting>
  <conditionalFormatting sqref="AI320:AI324 AI29:AI38 AI46 AI6:AI25 AI83:AI298 AI300:AI318 AI40:AI43 AI48:AI81">
    <cfRule type="colorScale" priority="6625">
      <colorScale>
        <cfvo type="min"/>
        <cfvo type="percentile" val="50"/>
        <cfvo type="max"/>
        <color rgb="FF63BE7B"/>
        <color rgb="FFFFEB84"/>
        <color rgb="FFF8696B"/>
      </colorScale>
    </cfRule>
  </conditionalFormatting>
  <conditionalFormatting sqref="AI320:AI324 AI46 AI6:AI25 AI27 AI83:AI298 AI29:AI38 AI300:AI318 AI40:AI43 AI48:AI81">
    <cfRule type="colorScale" priority="6631">
      <colorScale>
        <cfvo type="min"/>
        <cfvo type="percentile" val="50"/>
        <cfvo type="max"/>
        <color rgb="FF63BE7B"/>
        <color rgb="FFFFEB84"/>
        <color rgb="FFF8696B"/>
      </colorScale>
    </cfRule>
  </conditionalFormatting>
  <conditionalFormatting sqref="AI320:AI324 AI6:AI25 AI27 AI83:AI298 AI29:AI38 AI300:AI318 AI40:AI81">
    <cfRule type="colorScale" priority="6637">
      <colorScale>
        <cfvo type="min"/>
        <cfvo type="percentile" val="50"/>
        <cfvo type="max"/>
        <color rgb="FF63BE7B"/>
        <color rgb="FFFFEB84"/>
        <color rgb="FFF8696B"/>
      </colorScale>
    </cfRule>
  </conditionalFormatting>
  <conditionalFormatting sqref="AI6:AI324">
    <cfRule type="colorScale" priority="1">
      <colorScale>
        <cfvo type="min"/>
        <cfvo type="percentile" val="50"/>
        <cfvo type="max"/>
        <color rgb="FF63BE7B"/>
        <color rgb="FFFFEB84"/>
        <color rgb="FFF8696B"/>
      </colorScale>
    </cfRule>
  </conditionalFormatting>
  <dataValidations count="6">
    <dataValidation allowBlank="1" showDropDown="1" showInputMessage="1" showErrorMessage="1" sqref="E154:E156 E141:E142 E137:F139 E149:E152 F142 F144:F145 E258 E64 E144:E147" xr:uid="{00000000-0002-0000-0000-000000000000}"/>
    <dataValidation type="list" allowBlank="1" showInputMessage="1" showErrorMessage="1" sqref="M6:M7" xr:uid="{00000000-0002-0000-0000-000001000000}">
      <formula1>Consequence_Ratings</formula1>
    </dataValidation>
    <dataValidation type="list" showInputMessage="1" showErrorMessage="1" sqref="M8:M11 N6:T11 M12:T324" xr:uid="{00000000-0002-0000-0000-000002000000}">
      <formula1>Consequence_Ratings</formula1>
    </dataValidation>
    <dataValidation type="list" allowBlank="1" showInputMessage="1" showErrorMessage="1" sqref="I6:I324" xr:uid="{00000000-0002-0000-0000-000003000000}">
      <formula1>Overall_Condition</formula1>
    </dataValidation>
    <dataValidation type="list" allowBlank="1" showInputMessage="1" showErrorMessage="1" sqref="J6:J324" xr:uid="{00000000-0002-0000-0000-000004000000}">
      <formula1>Percent_Life_Left</formula1>
    </dataValidation>
    <dataValidation type="list" allowBlank="1" showInputMessage="1" showErrorMessage="1" sqref="AK6:AK324" xr:uid="{00000000-0002-0000-0000-000005000000}">
      <formula1>Funding_Source</formula1>
    </dataValidation>
  </dataValidations>
  <pageMargins left="0.3" right="0.2" top="0.4" bottom="0.3" header="0.25" footer="0.1"/>
  <pageSetup scale="59" fitToHeight="0" orientation="landscape" r:id="rId1"/>
  <headerFooter>
    <oddHeader xml:space="preserve">&amp;CUpdated May 17, 2013  </oddHeader>
    <oddFooter>&amp;RNewton FY14-FY18 CIP by PRIORITY</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workbookViewId="0"/>
  </sheetViews>
  <sheetFormatPr defaultRowHeight="15"/>
  <cols>
    <col min="1" max="1" width="15.28515625" customWidth="1"/>
    <col min="2" max="2" width="17.28515625" customWidth="1"/>
    <col min="3" max="3" width="22.5703125" customWidth="1"/>
    <col min="4" max="4" width="14.7109375" customWidth="1"/>
    <col min="5" max="5" width="25.28515625" customWidth="1"/>
    <col min="6" max="6" width="25" customWidth="1"/>
  </cols>
  <sheetData>
    <row r="1" spans="1:6" ht="15.75" thickBot="1">
      <c r="A1" s="33" t="s">
        <v>353</v>
      </c>
      <c r="B1" s="35" t="s">
        <v>354</v>
      </c>
      <c r="C1" s="36" t="s">
        <v>355</v>
      </c>
      <c r="D1" s="37" t="s">
        <v>356</v>
      </c>
      <c r="E1" s="38" t="s">
        <v>355</v>
      </c>
      <c r="F1" s="34" t="s">
        <v>357</v>
      </c>
    </row>
    <row r="2" spans="1:6">
      <c r="A2" s="39">
        <v>0</v>
      </c>
      <c r="B2" s="40">
        <v>0</v>
      </c>
      <c r="C2" s="41" t="s">
        <v>358</v>
      </c>
      <c r="D2" s="40">
        <v>0</v>
      </c>
      <c r="E2" s="41" t="s">
        <v>359</v>
      </c>
      <c r="F2" s="42" t="s">
        <v>360</v>
      </c>
    </row>
    <row r="3" spans="1:6">
      <c r="A3" s="39">
        <v>0.1</v>
      </c>
      <c r="B3" s="40">
        <v>1</v>
      </c>
      <c r="C3" s="41" t="s">
        <v>361</v>
      </c>
      <c r="D3" s="40">
        <v>1</v>
      </c>
      <c r="E3" s="41"/>
      <c r="F3" s="42" t="s">
        <v>1116</v>
      </c>
    </row>
    <row r="4" spans="1:6">
      <c r="A4" s="39">
        <v>0.2</v>
      </c>
      <c r="B4" s="40">
        <v>2</v>
      </c>
      <c r="C4" s="41" t="s">
        <v>362</v>
      </c>
      <c r="D4" s="40">
        <v>2</v>
      </c>
      <c r="E4" s="41" t="s">
        <v>363</v>
      </c>
      <c r="F4" s="42" t="s">
        <v>364</v>
      </c>
    </row>
    <row r="5" spans="1:6">
      <c r="A5" s="39">
        <v>0.3</v>
      </c>
      <c r="B5" s="40">
        <v>3</v>
      </c>
      <c r="C5" s="41" t="s">
        <v>365</v>
      </c>
      <c r="D5" s="40">
        <v>3</v>
      </c>
      <c r="E5" s="41"/>
      <c r="F5" s="42" t="s">
        <v>1487</v>
      </c>
    </row>
    <row r="6" spans="1:6">
      <c r="A6" s="39">
        <v>0.4</v>
      </c>
      <c r="B6" s="40">
        <v>4</v>
      </c>
      <c r="C6" s="41" t="s">
        <v>367</v>
      </c>
      <c r="D6" s="40">
        <v>4</v>
      </c>
      <c r="E6" s="41"/>
      <c r="F6" s="42" t="s">
        <v>1131</v>
      </c>
    </row>
    <row r="7" spans="1:6">
      <c r="A7" s="39">
        <v>0.5</v>
      </c>
      <c r="B7" s="40">
        <v>5</v>
      </c>
      <c r="C7" s="41" t="s">
        <v>368</v>
      </c>
      <c r="D7" s="40">
        <v>5</v>
      </c>
      <c r="E7" s="41" t="s">
        <v>369</v>
      </c>
      <c r="F7" s="42" t="s">
        <v>370</v>
      </c>
    </row>
    <row r="8" spans="1:6">
      <c r="A8" s="39">
        <v>0.6</v>
      </c>
      <c r="B8" s="40">
        <v>6</v>
      </c>
      <c r="C8" s="41" t="s">
        <v>371</v>
      </c>
      <c r="D8" s="40">
        <v>6</v>
      </c>
      <c r="E8" s="41"/>
      <c r="F8" s="42" t="s">
        <v>372</v>
      </c>
    </row>
    <row r="9" spans="1:6">
      <c r="A9" s="39">
        <v>0.7</v>
      </c>
      <c r="B9" s="40">
        <v>7</v>
      </c>
      <c r="C9" s="41" t="s">
        <v>373</v>
      </c>
      <c r="D9" s="40">
        <v>7</v>
      </c>
      <c r="E9" s="41"/>
      <c r="F9" s="42" t="s">
        <v>374</v>
      </c>
    </row>
    <row r="10" spans="1:6">
      <c r="A10" s="39">
        <v>0.8</v>
      </c>
      <c r="B10" s="40">
        <v>8</v>
      </c>
      <c r="C10" s="41" t="s">
        <v>375</v>
      </c>
      <c r="D10" s="40">
        <v>8</v>
      </c>
      <c r="E10" s="41" t="s">
        <v>376</v>
      </c>
      <c r="F10" s="42" t="s">
        <v>377</v>
      </c>
    </row>
    <row r="11" spans="1:6" ht="15.75" thickBot="1">
      <c r="A11" s="39">
        <v>0.9</v>
      </c>
      <c r="B11" s="40">
        <v>9</v>
      </c>
      <c r="C11" s="41" t="s">
        <v>378</v>
      </c>
      <c r="D11" s="40">
        <v>9</v>
      </c>
      <c r="E11" s="41"/>
      <c r="F11" s="43" t="s">
        <v>379</v>
      </c>
    </row>
    <row r="12" spans="1:6" ht="15.75" thickBot="1">
      <c r="A12" s="44">
        <v>1</v>
      </c>
      <c r="B12" s="45">
        <v>10</v>
      </c>
      <c r="C12" s="46" t="s">
        <v>380</v>
      </c>
      <c r="D12" s="45">
        <v>10</v>
      </c>
      <c r="E12" s="46" t="s">
        <v>381</v>
      </c>
      <c r="F12" s="47"/>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696"/>
  <sheetViews>
    <sheetView zoomScale="80" zoomScaleNormal="80" workbookViewId="0">
      <pane ySplit="3" topLeftCell="A4" activePane="bottomLeft" state="frozen"/>
      <selection pane="bottomLeft" activeCell="A4" sqref="A4"/>
    </sheetView>
  </sheetViews>
  <sheetFormatPr defaultRowHeight="15" outlineLevelRow="4" outlineLevelCol="1"/>
  <cols>
    <col min="1" max="1" width="2.7109375" style="135" customWidth="1"/>
    <col min="2" max="2" width="3.7109375" customWidth="1"/>
    <col min="3" max="3" width="40.5703125" customWidth="1"/>
    <col min="4" max="4" width="10.5703125" style="335" hidden="1" customWidth="1"/>
    <col min="5" max="5" width="11.7109375" hidden="1" customWidth="1"/>
    <col min="6" max="6" width="10.7109375" hidden="1" customWidth="1"/>
    <col min="7" max="7" width="14.85546875" customWidth="1" outlineLevel="1"/>
    <col min="8" max="9" width="14.7109375" customWidth="1" outlineLevel="1"/>
    <col min="10" max="10" width="14.85546875" customWidth="1" outlineLevel="1"/>
    <col min="11" max="11" width="14.7109375" customWidth="1" outlineLevel="1"/>
    <col min="12" max="12" width="20.7109375" customWidth="1"/>
    <col min="13" max="13" width="15.140625" hidden="1" customWidth="1"/>
    <col min="14" max="14" width="20.7109375" customWidth="1"/>
    <col min="15" max="15" width="14.7109375" hidden="1" customWidth="1"/>
    <col min="16" max="16" width="20.85546875" customWidth="1"/>
    <col min="17" max="17" width="14" hidden="1" customWidth="1"/>
    <col min="18" max="18" width="20.7109375" customWidth="1"/>
    <col min="19" max="19" width="26.7109375" style="135" customWidth="1"/>
    <col min="20" max="20" width="9.5703125" style="136" hidden="1" customWidth="1"/>
    <col min="21" max="21" width="20.85546875" style="243" hidden="1" customWidth="1"/>
  </cols>
  <sheetData>
    <row r="1" spans="1:21" ht="21">
      <c r="A1" s="472" t="s">
        <v>1482</v>
      </c>
      <c r="U1" s="137" t="s">
        <v>1479</v>
      </c>
    </row>
    <row r="2" spans="1:21" ht="16.5" customHeight="1">
      <c r="A2" s="635" t="s">
        <v>1292</v>
      </c>
      <c r="U2" s="137"/>
    </row>
    <row r="3" spans="1:21" ht="30.75" customHeight="1">
      <c r="A3" s="475" t="s">
        <v>1154</v>
      </c>
      <c r="B3" s="476"/>
      <c r="C3" s="476"/>
      <c r="D3" s="477" t="s">
        <v>459</v>
      </c>
      <c r="E3" s="478" t="s">
        <v>460</v>
      </c>
      <c r="F3" s="479" t="s">
        <v>461</v>
      </c>
      <c r="G3" s="480" t="s">
        <v>462</v>
      </c>
      <c r="H3" s="478" t="s">
        <v>463</v>
      </c>
      <c r="I3" s="478" t="s">
        <v>464</v>
      </c>
      <c r="J3" s="478" t="s">
        <v>465</v>
      </c>
      <c r="K3" s="479" t="s">
        <v>466</v>
      </c>
      <c r="L3" s="481" t="s">
        <v>467</v>
      </c>
      <c r="M3" s="499" t="s">
        <v>468</v>
      </c>
      <c r="N3" s="482" t="s">
        <v>468</v>
      </c>
      <c r="O3" s="498" t="s">
        <v>469</v>
      </c>
      <c r="P3" s="478" t="s">
        <v>469</v>
      </c>
      <c r="Q3" s="505" t="s">
        <v>470</v>
      </c>
      <c r="R3" s="479" t="s">
        <v>470</v>
      </c>
      <c r="S3" s="481" t="s">
        <v>471</v>
      </c>
      <c r="T3" s="481" t="s">
        <v>357</v>
      </c>
      <c r="U3" s="482" t="s">
        <v>472</v>
      </c>
    </row>
    <row r="4" spans="1:21" s="149" customFormat="1" ht="15.75" customHeight="1">
      <c r="A4" s="138" t="s">
        <v>473</v>
      </c>
      <c r="B4" s="139"/>
      <c r="C4" s="140"/>
      <c r="D4" s="336"/>
      <c r="E4" s="141"/>
      <c r="F4" s="142"/>
      <c r="G4" s="143"/>
      <c r="H4" s="141"/>
      <c r="I4" s="141"/>
      <c r="J4" s="141"/>
      <c r="K4" s="142"/>
      <c r="L4" s="144"/>
      <c r="M4" s="145"/>
      <c r="N4" s="145"/>
      <c r="O4" s="141"/>
      <c r="P4" s="142"/>
      <c r="Q4" s="142"/>
      <c r="R4" s="502"/>
      <c r="S4" s="146"/>
      <c r="T4" s="147"/>
      <c r="U4" s="148"/>
    </row>
    <row r="5" spans="1:21" s="149" customFormat="1" ht="15.75" hidden="1" outlineLevel="1">
      <c r="A5" s="150"/>
      <c r="B5" s="151" t="s">
        <v>474</v>
      </c>
      <c r="C5" s="152"/>
      <c r="D5" s="337"/>
      <c r="E5" s="153"/>
      <c r="F5" s="150"/>
      <c r="G5" s="154"/>
      <c r="H5" s="153"/>
      <c r="I5" s="153"/>
      <c r="J5" s="153"/>
      <c r="K5" s="150"/>
      <c r="L5" s="155"/>
      <c r="M5" s="156"/>
      <c r="N5" s="156"/>
      <c r="O5" s="157"/>
      <c r="P5" s="158"/>
      <c r="Q5" s="158"/>
      <c r="R5" s="215"/>
      <c r="S5" s="159"/>
      <c r="T5" s="160"/>
      <c r="U5" s="161"/>
    </row>
    <row r="6" spans="1:21" hidden="1" outlineLevel="2">
      <c r="A6" s="162"/>
      <c r="B6" s="151" t="s">
        <v>475</v>
      </c>
      <c r="C6" s="163"/>
      <c r="D6" s="338"/>
      <c r="E6" s="164"/>
      <c r="F6" s="165"/>
      <c r="G6" s="166"/>
      <c r="H6" s="164"/>
      <c r="I6" s="164"/>
      <c r="J6" s="164"/>
      <c r="K6" s="165"/>
      <c r="L6" s="167"/>
      <c r="M6" s="156"/>
      <c r="N6" s="168"/>
      <c r="O6" s="256"/>
      <c r="P6" s="162"/>
      <c r="Q6" s="158"/>
      <c r="R6" s="223"/>
      <c r="S6" s="159"/>
      <c r="T6" s="160"/>
      <c r="U6" s="170"/>
    </row>
    <row r="7" spans="1:21" hidden="1" outlineLevel="2">
      <c r="A7" s="162"/>
      <c r="B7" s="171"/>
      <c r="C7" s="151" t="s">
        <v>476</v>
      </c>
      <c r="D7" s="339"/>
      <c r="E7" s="164"/>
      <c r="F7" s="165"/>
      <c r="G7" s="172"/>
      <c r="H7" s="164"/>
      <c r="I7" s="164"/>
      <c r="J7" s="164"/>
      <c r="K7" s="165"/>
      <c r="L7" s="173"/>
      <c r="M7" s="156"/>
      <c r="N7" s="168"/>
      <c r="O7" s="256"/>
      <c r="P7" s="162"/>
      <c r="Q7" s="158"/>
      <c r="R7" s="223"/>
      <c r="S7" s="159"/>
      <c r="T7" s="160"/>
      <c r="U7" s="170"/>
    </row>
    <row r="8" spans="1:21" hidden="1" outlineLevel="2">
      <c r="A8" s="162"/>
      <c r="B8" s="171"/>
      <c r="C8" s="174" t="s">
        <v>477</v>
      </c>
      <c r="D8" s="340"/>
      <c r="E8" s="164"/>
      <c r="F8" s="165"/>
      <c r="G8" s="172"/>
      <c r="H8" s="164"/>
      <c r="I8" s="164"/>
      <c r="J8" s="164"/>
      <c r="K8" s="165"/>
      <c r="L8" s="173"/>
      <c r="M8" s="156"/>
      <c r="N8" s="168"/>
      <c r="O8" s="157"/>
      <c r="P8" s="165"/>
      <c r="Q8" s="158"/>
      <c r="R8" s="223"/>
      <c r="S8" s="159"/>
      <c r="T8" s="160"/>
      <c r="U8" s="170"/>
    </row>
    <row r="9" spans="1:21" hidden="1" outlineLevel="2">
      <c r="A9" s="162"/>
      <c r="B9" s="171"/>
      <c r="C9" s="174" t="s">
        <v>478</v>
      </c>
      <c r="D9" s="340"/>
      <c r="E9" s="164"/>
      <c r="F9" s="165"/>
      <c r="G9" s="172"/>
      <c r="H9" s="164"/>
      <c r="I9" s="164"/>
      <c r="J9" s="164"/>
      <c r="K9" s="165"/>
      <c r="L9" s="173"/>
      <c r="M9" s="156"/>
      <c r="N9" s="168"/>
      <c r="O9" s="157"/>
      <c r="P9" s="165"/>
      <c r="Q9" s="158"/>
      <c r="R9" s="223"/>
      <c r="S9" s="159"/>
      <c r="T9" s="160"/>
      <c r="U9" s="170"/>
    </row>
    <row r="10" spans="1:21" hidden="1" outlineLevel="2">
      <c r="A10" s="162"/>
      <c r="B10" s="171"/>
      <c r="C10" s="174" t="s">
        <v>479</v>
      </c>
      <c r="D10" s="340"/>
      <c r="E10" s="164"/>
      <c r="F10" s="165"/>
      <c r="G10" s="172"/>
      <c r="H10" s="164"/>
      <c r="I10" s="164"/>
      <c r="J10" s="164"/>
      <c r="K10" s="165"/>
      <c r="L10" s="173"/>
      <c r="M10" s="156"/>
      <c r="N10" s="168"/>
      <c r="O10" s="157"/>
      <c r="P10" s="165"/>
      <c r="Q10" s="158"/>
      <c r="R10" s="223"/>
      <c r="S10" s="159"/>
      <c r="T10" s="160"/>
      <c r="U10" s="170"/>
    </row>
    <row r="11" spans="1:21" hidden="1" outlineLevel="2">
      <c r="A11" s="162"/>
      <c r="B11" s="171"/>
      <c r="C11" s="174" t="s">
        <v>480</v>
      </c>
      <c r="D11" s="340"/>
      <c r="E11" s="164"/>
      <c r="F11" s="165"/>
      <c r="G11" s="172"/>
      <c r="H11" s="164"/>
      <c r="I11" s="164"/>
      <c r="J11" s="164"/>
      <c r="K11" s="165"/>
      <c r="L11" s="173"/>
      <c r="M11" s="156"/>
      <c r="N11" s="168"/>
      <c r="O11" s="157"/>
      <c r="P11" s="165"/>
      <c r="Q11" s="158"/>
      <c r="R11" s="223"/>
      <c r="S11" s="159"/>
      <c r="T11" s="160"/>
      <c r="U11" s="170"/>
    </row>
    <row r="12" spans="1:21" hidden="1" outlineLevel="2">
      <c r="A12" s="162"/>
      <c r="B12" s="171"/>
      <c r="C12" s="174" t="s">
        <v>481</v>
      </c>
      <c r="D12" s="340"/>
      <c r="E12" s="164"/>
      <c r="F12" s="165"/>
      <c r="G12" s="172"/>
      <c r="H12" s="164"/>
      <c r="I12" s="164"/>
      <c r="J12" s="164"/>
      <c r="K12" s="165"/>
      <c r="L12" s="173"/>
      <c r="M12" s="156"/>
      <c r="N12" s="168"/>
      <c r="O12" s="157"/>
      <c r="P12" s="165"/>
      <c r="Q12" s="158"/>
      <c r="R12" s="223"/>
      <c r="S12" s="159"/>
      <c r="T12" s="160"/>
      <c r="U12" s="170"/>
    </row>
    <row r="13" spans="1:21" hidden="1" outlineLevel="2">
      <c r="A13" s="162"/>
      <c r="B13" s="171"/>
      <c r="C13" s="151" t="s">
        <v>482</v>
      </c>
      <c r="D13" s="339"/>
      <c r="E13" s="164"/>
      <c r="F13" s="165"/>
      <c r="G13" s="172"/>
      <c r="H13" s="164"/>
      <c r="I13" s="164"/>
      <c r="J13" s="164"/>
      <c r="K13" s="165"/>
      <c r="L13" s="173"/>
      <c r="M13" s="156"/>
      <c r="N13" s="168"/>
      <c r="O13" s="157"/>
      <c r="P13" s="165"/>
      <c r="Q13" s="158"/>
      <c r="R13" s="223"/>
      <c r="S13" s="159"/>
      <c r="T13" s="160"/>
      <c r="U13" s="170"/>
    </row>
    <row r="14" spans="1:21" hidden="1" outlineLevel="2">
      <c r="A14" s="162"/>
      <c r="B14" s="171"/>
      <c r="C14" s="174" t="s">
        <v>483</v>
      </c>
      <c r="D14" s="340"/>
      <c r="E14" s="164"/>
      <c r="F14" s="165"/>
      <c r="G14" s="172"/>
      <c r="H14" s="164"/>
      <c r="I14" s="164"/>
      <c r="J14" s="164"/>
      <c r="K14" s="165"/>
      <c r="L14" s="173"/>
      <c r="M14" s="156"/>
      <c r="N14" s="168"/>
      <c r="O14" s="157"/>
      <c r="P14" s="165"/>
      <c r="Q14" s="158"/>
      <c r="R14" s="223"/>
      <c r="S14" s="159"/>
      <c r="T14" s="160"/>
      <c r="U14" s="175"/>
    </row>
    <row r="15" spans="1:21" hidden="1" outlineLevel="2">
      <c r="A15" s="162"/>
      <c r="B15" s="171"/>
      <c r="C15" s="174" t="s">
        <v>484</v>
      </c>
      <c r="D15" s="340"/>
      <c r="E15" s="164"/>
      <c r="F15" s="165"/>
      <c r="G15" s="172"/>
      <c r="H15" s="164"/>
      <c r="I15" s="164"/>
      <c r="J15" s="164"/>
      <c r="K15" s="165"/>
      <c r="L15" s="173"/>
      <c r="M15" s="156"/>
      <c r="N15" s="168"/>
      <c r="O15" s="157"/>
      <c r="P15" s="165"/>
      <c r="Q15" s="158"/>
      <c r="R15" s="223"/>
      <c r="S15" s="159"/>
      <c r="T15" s="160"/>
      <c r="U15" s="170"/>
    </row>
    <row r="16" spans="1:21" hidden="1" outlineLevel="2">
      <c r="A16" s="162"/>
      <c r="B16" s="171"/>
      <c r="C16" s="174" t="s">
        <v>479</v>
      </c>
      <c r="D16" s="340"/>
      <c r="E16" s="164"/>
      <c r="F16" s="165"/>
      <c r="G16" s="172"/>
      <c r="H16" s="164"/>
      <c r="I16" s="164"/>
      <c r="J16" s="164"/>
      <c r="K16" s="165"/>
      <c r="L16" s="173"/>
      <c r="M16" s="156"/>
      <c r="N16" s="168"/>
      <c r="O16" s="157"/>
      <c r="P16" s="165"/>
      <c r="Q16" s="158"/>
      <c r="R16" s="223"/>
      <c r="S16" s="159"/>
      <c r="T16" s="160"/>
      <c r="U16" s="170"/>
    </row>
    <row r="17" spans="1:21" hidden="1" outlineLevel="2">
      <c r="A17" s="162"/>
      <c r="B17" s="171"/>
      <c r="C17" s="174" t="s">
        <v>485</v>
      </c>
      <c r="D17" s="340"/>
      <c r="E17" s="164"/>
      <c r="F17" s="165"/>
      <c r="G17" s="172"/>
      <c r="H17" s="164"/>
      <c r="I17" s="164"/>
      <c r="J17" s="164"/>
      <c r="K17" s="165"/>
      <c r="L17" s="173"/>
      <c r="M17" s="156"/>
      <c r="N17" s="168"/>
      <c r="O17" s="157"/>
      <c r="P17" s="165"/>
      <c r="Q17" s="158">
        <v>150000</v>
      </c>
      <c r="R17" s="255">
        <f>Q17*1.73</f>
        <v>259500</v>
      </c>
      <c r="S17" s="159">
        <f>SUM(L17,N17,P17,R17)</f>
        <v>259500</v>
      </c>
      <c r="T17" s="160"/>
      <c r="U17" s="170"/>
    </row>
    <row r="18" spans="1:21" hidden="1" outlineLevel="2">
      <c r="A18" s="162"/>
      <c r="B18" s="171"/>
      <c r="C18" s="151" t="s">
        <v>486</v>
      </c>
      <c r="D18" s="339"/>
      <c r="E18" s="164"/>
      <c r="F18" s="165"/>
      <c r="G18" s="172"/>
      <c r="H18" s="164"/>
      <c r="I18" s="164"/>
      <c r="J18" s="164"/>
      <c r="K18" s="165"/>
      <c r="L18" s="173"/>
      <c r="M18" s="156"/>
      <c r="N18" s="168"/>
      <c r="O18" s="157"/>
      <c r="P18" s="165"/>
      <c r="Q18" s="158"/>
      <c r="R18" s="504"/>
      <c r="S18" s="159"/>
      <c r="T18" s="160"/>
      <c r="U18" s="170"/>
    </row>
    <row r="19" spans="1:21" hidden="1" outlineLevel="2">
      <c r="A19" s="162"/>
      <c r="B19" s="171"/>
      <c r="C19" s="174" t="s">
        <v>487</v>
      </c>
      <c r="D19" s="340"/>
      <c r="E19" s="164"/>
      <c r="F19" s="165"/>
      <c r="G19" s="172"/>
      <c r="H19" s="164"/>
      <c r="I19" s="164"/>
      <c r="J19" s="164"/>
      <c r="K19" s="165"/>
      <c r="L19" s="173"/>
      <c r="M19" s="156"/>
      <c r="N19" s="168"/>
      <c r="O19" s="157"/>
      <c r="P19" s="165"/>
      <c r="Q19" s="158"/>
      <c r="R19" s="223"/>
      <c r="S19" s="159"/>
      <c r="T19" s="160"/>
      <c r="U19" s="170"/>
    </row>
    <row r="20" spans="1:21" hidden="1" outlineLevel="2">
      <c r="A20" s="162"/>
      <c r="B20" s="171"/>
      <c r="C20" s="174" t="s">
        <v>479</v>
      </c>
      <c r="D20" s="340"/>
      <c r="E20" s="164"/>
      <c r="F20" s="165"/>
      <c r="G20" s="172"/>
      <c r="H20" s="164"/>
      <c r="I20" s="164"/>
      <c r="J20" s="164"/>
      <c r="K20" s="165"/>
      <c r="L20" s="173"/>
      <c r="M20" s="156"/>
      <c r="N20" s="168"/>
      <c r="O20" s="157"/>
      <c r="P20" s="165"/>
      <c r="Q20" s="158"/>
      <c r="R20" s="223"/>
      <c r="S20" s="159"/>
      <c r="T20" s="160"/>
      <c r="U20" s="170"/>
    </row>
    <row r="21" spans="1:21" hidden="1" outlineLevel="2">
      <c r="A21" s="162"/>
      <c r="B21" s="171"/>
      <c r="C21" s="174" t="s">
        <v>488</v>
      </c>
      <c r="D21" s="340"/>
      <c r="E21" s="164"/>
      <c r="F21" s="165"/>
      <c r="G21" s="172"/>
      <c r="H21" s="164"/>
      <c r="I21" s="164"/>
      <c r="J21" s="164"/>
      <c r="K21" s="165"/>
      <c r="L21" s="173"/>
      <c r="M21" s="156"/>
      <c r="N21" s="168"/>
      <c r="O21" s="157"/>
      <c r="P21" s="165"/>
      <c r="Q21" s="158"/>
      <c r="R21" s="223"/>
      <c r="S21" s="159"/>
      <c r="T21" s="160"/>
      <c r="U21" s="170"/>
    </row>
    <row r="22" spans="1:21" hidden="1" outlineLevel="2">
      <c r="A22" s="162"/>
      <c r="B22" s="171"/>
      <c r="C22" s="174" t="s">
        <v>489</v>
      </c>
      <c r="D22" s="340"/>
      <c r="E22" s="164"/>
      <c r="F22" s="165"/>
      <c r="G22" s="172"/>
      <c r="H22" s="164"/>
      <c r="I22" s="164"/>
      <c r="J22" s="164"/>
      <c r="K22" s="165"/>
      <c r="L22" s="173"/>
      <c r="M22" s="156"/>
      <c r="N22" s="168"/>
      <c r="O22" s="157"/>
      <c r="P22" s="165"/>
      <c r="Q22" s="158"/>
      <c r="R22" s="223"/>
      <c r="S22" s="159"/>
      <c r="T22" s="160"/>
      <c r="U22" s="170"/>
    </row>
    <row r="23" spans="1:21" hidden="1" outlineLevel="2">
      <c r="A23" s="162"/>
      <c r="B23" s="171"/>
      <c r="C23" s="151" t="s">
        <v>490</v>
      </c>
      <c r="D23" s="339"/>
      <c r="E23" s="164"/>
      <c r="F23" s="165"/>
      <c r="G23" s="172"/>
      <c r="H23" s="164"/>
      <c r="I23" s="164"/>
      <c r="J23" s="164"/>
      <c r="K23" s="165"/>
      <c r="L23" s="173"/>
      <c r="M23" s="156"/>
      <c r="N23" s="168"/>
      <c r="O23" s="157"/>
      <c r="P23" s="165"/>
      <c r="Q23" s="158"/>
      <c r="R23" s="223"/>
      <c r="S23" s="159"/>
      <c r="T23" s="160"/>
      <c r="U23" s="170"/>
    </row>
    <row r="24" spans="1:21" hidden="1" outlineLevel="2">
      <c r="A24" s="162"/>
      <c r="B24" s="171"/>
      <c r="C24" s="174" t="s">
        <v>491</v>
      </c>
      <c r="D24" s="340"/>
      <c r="E24" s="164"/>
      <c r="F24" s="165"/>
      <c r="G24" s="172"/>
      <c r="H24" s="164"/>
      <c r="I24" s="164"/>
      <c r="J24" s="164"/>
      <c r="K24" s="165"/>
      <c r="L24" s="176"/>
      <c r="M24" s="156"/>
      <c r="N24" s="168"/>
      <c r="O24" s="157"/>
      <c r="P24" s="165"/>
      <c r="Q24" s="158"/>
      <c r="R24" s="223"/>
      <c r="S24" s="159"/>
      <c r="T24" s="160"/>
      <c r="U24" s="170"/>
    </row>
    <row r="25" spans="1:21" hidden="1" outlineLevel="2">
      <c r="A25" s="162"/>
      <c r="B25" s="171"/>
      <c r="C25" s="174" t="s">
        <v>492</v>
      </c>
      <c r="D25" s="340"/>
      <c r="E25" s="164"/>
      <c r="F25" s="165"/>
      <c r="G25" s="172"/>
      <c r="H25" s="164"/>
      <c r="I25" s="164"/>
      <c r="J25" s="164"/>
      <c r="K25" s="165"/>
      <c r="L25" s="176"/>
      <c r="M25" s="156"/>
      <c r="N25" s="168"/>
      <c r="O25" s="157"/>
      <c r="P25" s="165"/>
      <c r="Q25" s="158"/>
      <c r="R25" s="223"/>
      <c r="S25" s="159"/>
      <c r="T25" s="160"/>
      <c r="U25" s="170"/>
    </row>
    <row r="26" spans="1:21" hidden="1" outlineLevel="2">
      <c r="A26" s="162"/>
      <c r="B26" s="171"/>
      <c r="C26" s="174" t="s">
        <v>493</v>
      </c>
      <c r="D26" s="340"/>
      <c r="E26" s="164"/>
      <c r="F26" s="165"/>
      <c r="G26" s="172"/>
      <c r="H26" s="164"/>
      <c r="I26" s="164"/>
      <c r="J26" s="164"/>
      <c r="K26" s="165"/>
      <c r="L26" s="176"/>
      <c r="M26" s="156"/>
      <c r="N26" s="168"/>
      <c r="O26" s="157"/>
      <c r="P26" s="165"/>
      <c r="Q26" s="158"/>
      <c r="R26" s="223"/>
      <c r="S26" s="159"/>
      <c r="T26" s="160"/>
      <c r="U26" s="170"/>
    </row>
    <row r="27" spans="1:21" hidden="1" outlineLevel="2">
      <c r="A27" s="162"/>
      <c r="B27" s="171"/>
      <c r="C27" s="174" t="s">
        <v>494</v>
      </c>
      <c r="D27" s="340"/>
      <c r="E27" s="164"/>
      <c r="F27" s="165"/>
      <c r="G27" s="172"/>
      <c r="H27" s="164"/>
      <c r="I27" s="164"/>
      <c r="J27" s="164"/>
      <c r="K27" s="165"/>
      <c r="L27" s="173"/>
      <c r="M27" s="156"/>
      <c r="N27" s="168"/>
      <c r="O27" s="157"/>
      <c r="P27" s="165"/>
      <c r="Q27" s="158"/>
      <c r="R27" s="223"/>
      <c r="S27" s="159"/>
      <c r="T27" s="160"/>
      <c r="U27" s="170"/>
    </row>
    <row r="28" spans="1:21" hidden="1" outlineLevel="2">
      <c r="A28" s="162"/>
      <c r="B28" s="171"/>
      <c r="C28" s="151" t="s">
        <v>495</v>
      </c>
      <c r="D28" s="339"/>
      <c r="E28" s="164"/>
      <c r="F28" s="165"/>
      <c r="G28" s="172"/>
      <c r="H28" s="164"/>
      <c r="I28" s="164"/>
      <c r="J28" s="164"/>
      <c r="K28" s="165"/>
      <c r="L28" s="173"/>
      <c r="M28" s="156"/>
      <c r="N28" s="168"/>
      <c r="O28" s="157"/>
      <c r="P28" s="165"/>
      <c r="Q28" s="158"/>
      <c r="R28" s="223"/>
      <c r="S28" s="159"/>
      <c r="T28" s="160"/>
      <c r="U28" s="170"/>
    </row>
    <row r="29" spans="1:21" hidden="1" outlineLevel="2">
      <c r="A29" s="162"/>
      <c r="B29" s="171"/>
      <c r="C29" s="174" t="s">
        <v>496</v>
      </c>
      <c r="D29" s="340"/>
      <c r="E29" s="164"/>
      <c r="F29" s="165"/>
      <c r="G29" s="172"/>
      <c r="H29" s="164"/>
      <c r="I29" s="164"/>
      <c r="J29" s="164"/>
      <c r="K29" s="165"/>
      <c r="L29" s="173"/>
      <c r="M29" s="156"/>
      <c r="N29" s="168"/>
      <c r="O29" s="157"/>
      <c r="P29" s="165"/>
      <c r="Q29" s="158"/>
      <c r="R29" s="223"/>
      <c r="S29" s="159"/>
      <c r="T29" s="160"/>
      <c r="U29" s="170"/>
    </row>
    <row r="30" spans="1:21" hidden="1" outlineLevel="2">
      <c r="A30" s="162"/>
      <c r="B30" s="171"/>
      <c r="C30" s="174" t="s">
        <v>497</v>
      </c>
      <c r="D30" s="340"/>
      <c r="E30" s="164"/>
      <c r="F30" s="165"/>
      <c r="G30" s="172"/>
      <c r="H30" s="164"/>
      <c r="I30" s="164"/>
      <c r="J30" s="164"/>
      <c r="K30" s="165"/>
      <c r="L30" s="284"/>
      <c r="M30" s="156">
        <v>100000</v>
      </c>
      <c r="N30" s="244">
        <f>M30*1.23</f>
        <v>123000</v>
      </c>
      <c r="O30" s="157"/>
      <c r="P30" s="165"/>
      <c r="Q30" s="158"/>
      <c r="R30" s="223"/>
      <c r="S30" s="159">
        <f>SUM(L30,N30,P30,R30)</f>
        <v>123000</v>
      </c>
      <c r="T30" s="160"/>
      <c r="U30" s="170" t="s">
        <v>498</v>
      </c>
    </row>
    <row r="31" spans="1:21" hidden="1" outlineLevel="2">
      <c r="A31" s="162"/>
      <c r="B31" s="171"/>
      <c r="C31" s="174" t="s">
        <v>499</v>
      </c>
      <c r="D31" s="340"/>
      <c r="E31" s="164"/>
      <c r="F31" s="165"/>
      <c r="G31" s="172"/>
      <c r="H31" s="164"/>
      <c r="I31" s="164"/>
      <c r="J31" s="164"/>
      <c r="K31" s="165"/>
      <c r="L31" s="284"/>
      <c r="M31" s="156"/>
      <c r="N31" s="227"/>
      <c r="O31" s="157"/>
      <c r="P31" s="165"/>
      <c r="Q31" s="158"/>
      <c r="R31" s="223"/>
      <c r="S31" s="159"/>
      <c r="T31" s="160"/>
      <c r="U31" s="170"/>
    </row>
    <row r="32" spans="1:21" hidden="1" outlineLevel="2">
      <c r="A32" s="162"/>
      <c r="B32" s="171"/>
      <c r="C32" s="174" t="s">
        <v>500</v>
      </c>
      <c r="D32" s="340"/>
      <c r="E32" s="164"/>
      <c r="F32" s="165">
        <v>950000</v>
      </c>
      <c r="G32" s="172">
        <f>CIP!$AR$7</f>
        <v>11700000</v>
      </c>
      <c r="H32" s="164"/>
      <c r="I32" s="164"/>
      <c r="J32" s="164"/>
      <c r="K32" s="165"/>
      <c r="L32" s="167">
        <f>SUM(G32:K32)</f>
        <v>11700000</v>
      </c>
      <c r="M32" s="156"/>
      <c r="N32" s="168"/>
      <c r="O32" s="157"/>
      <c r="P32" s="165"/>
      <c r="Q32" s="158"/>
      <c r="R32" s="223"/>
      <c r="S32" s="159">
        <f>SUM(L32,N32,P32,R32)</f>
        <v>11700000</v>
      </c>
      <c r="T32" s="160"/>
      <c r="U32" s="170" t="s">
        <v>501</v>
      </c>
    </row>
    <row r="33" spans="1:21" ht="15.75" hidden="1" outlineLevel="1" collapsed="1">
      <c r="A33" s="162"/>
      <c r="B33" s="289"/>
      <c r="C33" s="151" t="s">
        <v>475</v>
      </c>
      <c r="D33" s="339"/>
      <c r="E33" s="157">
        <v>11708000</v>
      </c>
      <c r="F33" s="165">
        <f>SUM(F7:F32)</f>
        <v>950000</v>
      </c>
      <c r="G33" s="249">
        <f>SUM(G6:G32)</f>
        <v>11700000</v>
      </c>
      <c r="H33" s="244"/>
      <c r="I33" s="244"/>
      <c r="J33" s="244"/>
      <c r="K33" s="248"/>
      <c r="L33" s="226">
        <f>SUM(L6:L32)</f>
        <v>11700000</v>
      </c>
      <c r="M33" s="156">
        <f>SUM(M6:M32)</f>
        <v>100000</v>
      </c>
      <c r="N33" s="244">
        <f>M33*1.23</f>
        <v>123000</v>
      </c>
      <c r="O33" s="157"/>
      <c r="P33" s="248"/>
      <c r="Q33" s="158">
        <f>SUM(Q6:Q32)</f>
        <v>150000</v>
      </c>
      <c r="R33" s="255">
        <f>Q33*1.73</f>
        <v>259500</v>
      </c>
      <c r="S33" s="159">
        <f>SUM(L33,N33,P33,R33)</f>
        <v>12082500</v>
      </c>
      <c r="T33" s="160" t="s">
        <v>360</v>
      </c>
      <c r="U33" s="170" t="s">
        <v>1293</v>
      </c>
    </row>
    <row r="34" spans="1:21" hidden="1" outlineLevel="2">
      <c r="A34" s="177"/>
      <c r="B34" s="178" t="s">
        <v>502</v>
      </c>
      <c r="C34" s="179"/>
      <c r="D34" s="341"/>
      <c r="F34" s="180"/>
      <c r="G34" s="181"/>
      <c r="H34" s="182"/>
      <c r="I34" s="182"/>
      <c r="J34" s="182"/>
      <c r="K34" s="180"/>
      <c r="L34" s="183"/>
      <c r="M34" s="184"/>
      <c r="N34" s="184"/>
      <c r="O34" s="185"/>
      <c r="P34" s="186"/>
      <c r="Q34" s="186"/>
      <c r="R34" s="503"/>
      <c r="S34" s="187"/>
      <c r="T34" s="188"/>
      <c r="U34" s="189"/>
    </row>
    <row r="35" spans="1:21" hidden="1" outlineLevel="2">
      <c r="A35" s="162"/>
      <c r="B35" s="171"/>
      <c r="C35" s="151" t="s">
        <v>503</v>
      </c>
      <c r="D35" s="339"/>
      <c r="E35" s="164"/>
      <c r="F35" s="165"/>
      <c r="G35" s="172"/>
      <c r="H35" s="164"/>
      <c r="I35" s="164"/>
      <c r="J35" s="164"/>
      <c r="K35" s="165"/>
      <c r="L35" s="234"/>
      <c r="M35" s="156"/>
      <c r="N35" s="168"/>
      <c r="O35" s="157"/>
      <c r="P35" s="165"/>
      <c r="Q35" s="158"/>
      <c r="R35" s="223"/>
      <c r="S35" s="159"/>
      <c r="T35" s="160"/>
      <c r="U35" s="170"/>
    </row>
    <row r="36" spans="1:21" hidden="1" outlineLevel="2">
      <c r="A36" s="162"/>
      <c r="B36" s="171"/>
      <c r="C36" s="174" t="s">
        <v>477</v>
      </c>
      <c r="D36" s="340"/>
      <c r="E36" s="164"/>
      <c r="F36" s="165"/>
      <c r="G36" s="172"/>
      <c r="H36" s="164"/>
      <c r="I36" s="164"/>
      <c r="J36" s="164"/>
      <c r="K36" s="165"/>
      <c r="L36" s="234"/>
      <c r="M36" s="156"/>
      <c r="N36" s="168"/>
      <c r="O36" s="157"/>
      <c r="P36" s="165"/>
      <c r="Q36" s="158"/>
      <c r="R36" s="223"/>
      <c r="S36" s="159"/>
      <c r="T36" s="160"/>
      <c r="U36" s="170"/>
    </row>
    <row r="37" spans="1:21" hidden="1" outlineLevel="2">
      <c r="A37" s="162"/>
      <c r="B37" s="171"/>
      <c r="C37" s="174" t="s">
        <v>478</v>
      </c>
      <c r="D37" s="340"/>
      <c r="E37" s="164"/>
      <c r="F37" s="165"/>
      <c r="G37" s="172"/>
      <c r="H37" s="164"/>
      <c r="I37" s="164"/>
      <c r="J37" s="164"/>
      <c r="K37" s="165"/>
      <c r="L37" s="234"/>
      <c r="M37" s="156"/>
      <c r="N37" s="168"/>
      <c r="O37" s="157"/>
      <c r="P37" s="165"/>
      <c r="Q37" s="158"/>
      <c r="R37" s="223"/>
      <c r="S37" s="159"/>
      <c r="T37" s="160"/>
      <c r="U37" s="170"/>
    </row>
    <row r="38" spans="1:21" hidden="1" outlineLevel="2">
      <c r="A38" s="162"/>
      <c r="B38" s="171"/>
      <c r="C38" s="174" t="s">
        <v>479</v>
      </c>
      <c r="D38" s="340"/>
      <c r="E38" s="164"/>
      <c r="F38" s="165"/>
      <c r="G38" s="172"/>
      <c r="H38" s="164"/>
      <c r="I38" s="164"/>
      <c r="J38" s="164"/>
      <c r="K38" s="165"/>
      <c r="L38" s="234"/>
      <c r="M38" s="156"/>
      <c r="N38" s="168"/>
      <c r="O38" s="157"/>
      <c r="P38" s="165"/>
      <c r="Q38" s="158"/>
      <c r="R38" s="223"/>
      <c r="S38" s="159"/>
      <c r="T38" s="160"/>
      <c r="U38" s="170"/>
    </row>
    <row r="39" spans="1:21" hidden="1" outlineLevel="2">
      <c r="A39" s="162"/>
      <c r="B39" s="171"/>
      <c r="C39" s="174" t="s">
        <v>480</v>
      </c>
      <c r="D39" s="340"/>
      <c r="E39" s="164"/>
      <c r="F39" s="165"/>
      <c r="G39" s="172"/>
      <c r="H39" s="164"/>
      <c r="I39" s="164"/>
      <c r="J39" s="164"/>
      <c r="K39" s="165"/>
      <c r="L39" s="234"/>
      <c r="M39" s="156"/>
      <c r="N39" s="168"/>
      <c r="O39" s="157"/>
      <c r="P39" s="165"/>
      <c r="Q39" s="158"/>
      <c r="R39" s="223"/>
      <c r="S39" s="159"/>
      <c r="T39" s="160"/>
      <c r="U39" s="170"/>
    </row>
    <row r="40" spans="1:21" hidden="1" outlineLevel="2">
      <c r="A40" s="162"/>
      <c r="B40" s="171"/>
      <c r="C40" s="174" t="s">
        <v>481</v>
      </c>
      <c r="D40" s="340"/>
      <c r="E40" s="164"/>
      <c r="F40" s="165"/>
      <c r="G40" s="172"/>
      <c r="H40" s="164"/>
      <c r="I40" s="164"/>
      <c r="J40" s="164"/>
      <c r="K40" s="165"/>
      <c r="L40" s="234"/>
      <c r="M40" s="156"/>
      <c r="N40" s="168"/>
      <c r="O40" s="157"/>
      <c r="P40" s="165"/>
      <c r="Q40" s="158"/>
      <c r="R40" s="223"/>
      <c r="S40" s="159"/>
      <c r="T40" s="160"/>
      <c r="U40" s="170"/>
    </row>
    <row r="41" spans="1:21" hidden="1" outlineLevel="2">
      <c r="A41" s="162"/>
      <c r="B41" s="171"/>
      <c r="C41" s="151" t="s">
        <v>504</v>
      </c>
      <c r="D41" s="339"/>
      <c r="E41" s="164"/>
      <c r="F41" s="165"/>
      <c r="G41" s="172"/>
      <c r="H41" s="164"/>
      <c r="I41" s="164"/>
      <c r="J41" s="164"/>
      <c r="K41" s="165"/>
      <c r="L41" s="234"/>
      <c r="M41" s="156"/>
      <c r="N41" s="168"/>
      <c r="O41" s="157"/>
      <c r="P41" s="165"/>
      <c r="Q41" s="158"/>
      <c r="R41" s="223"/>
      <c r="S41" s="159"/>
      <c r="T41" s="160"/>
      <c r="U41" s="170"/>
    </row>
    <row r="42" spans="1:21" hidden="1" outlineLevel="2">
      <c r="A42" s="162"/>
      <c r="B42" s="171"/>
      <c r="C42" s="174" t="s">
        <v>483</v>
      </c>
      <c r="D42" s="340"/>
      <c r="E42" s="164"/>
      <c r="F42" s="165"/>
      <c r="G42" s="172"/>
      <c r="H42" s="164"/>
      <c r="I42" s="164"/>
      <c r="J42" s="164"/>
      <c r="K42" s="165"/>
      <c r="L42" s="234"/>
      <c r="M42" s="156"/>
      <c r="N42" s="168"/>
      <c r="O42" s="157"/>
      <c r="P42" s="165"/>
      <c r="Q42" s="158"/>
      <c r="R42" s="223"/>
      <c r="S42" s="159"/>
      <c r="T42" s="160"/>
      <c r="U42" s="175"/>
    </row>
    <row r="43" spans="1:21" hidden="1" outlineLevel="2">
      <c r="A43" s="162"/>
      <c r="B43" s="171"/>
      <c r="C43" s="174" t="s">
        <v>484</v>
      </c>
      <c r="D43" s="340"/>
      <c r="E43" s="164"/>
      <c r="F43" s="165"/>
      <c r="G43" s="172"/>
      <c r="H43" s="164"/>
      <c r="I43" s="164"/>
      <c r="J43" s="164"/>
      <c r="K43" s="165"/>
      <c r="L43" s="234"/>
      <c r="M43" s="156"/>
      <c r="N43" s="168"/>
      <c r="O43" s="157"/>
      <c r="P43" s="165"/>
      <c r="Q43" s="158"/>
      <c r="R43" s="223"/>
      <c r="S43" s="159"/>
      <c r="T43" s="160"/>
      <c r="U43" s="170"/>
    </row>
    <row r="44" spans="1:21" hidden="1" outlineLevel="2">
      <c r="A44" s="162"/>
      <c r="B44" s="171"/>
      <c r="C44" s="174" t="s">
        <v>479</v>
      </c>
      <c r="D44" s="340"/>
      <c r="E44" s="164"/>
      <c r="F44" s="165"/>
      <c r="G44" s="172"/>
      <c r="H44" s="164"/>
      <c r="I44" s="164"/>
      <c r="J44" s="164"/>
      <c r="K44" s="165"/>
      <c r="L44" s="234"/>
      <c r="M44" s="156"/>
      <c r="N44" s="168"/>
      <c r="O44" s="157"/>
      <c r="P44" s="165"/>
      <c r="Q44" s="158"/>
      <c r="R44" s="223"/>
      <c r="S44" s="159"/>
      <c r="T44" s="160"/>
      <c r="U44" s="170"/>
    </row>
    <row r="45" spans="1:21" hidden="1" outlineLevel="2">
      <c r="A45" s="162"/>
      <c r="B45" s="171"/>
      <c r="C45" s="174" t="s">
        <v>485</v>
      </c>
      <c r="D45" s="340"/>
      <c r="E45" s="164"/>
      <c r="F45" s="165"/>
      <c r="G45" s="172"/>
      <c r="H45" s="164"/>
      <c r="I45" s="164"/>
      <c r="J45" s="164"/>
      <c r="K45" s="165"/>
      <c r="L45" s="234"/>
      <c r="M45" s="156"/>
      <c r="N45" s="168"/>
      <c r="O45" s="157"/>
      <c r="P45" s="165"/>
      <c r="Q45" s="158">
        <v>150000</v>
      </c>
      <c r="R45" s="255">
        <f>Q45*1.73</f>
        <v>259500</v>
      </c>
      <c r="S45" s="159">
        <f>SUM(L45,N45,P45,R45)</f>
        <v>259500</v>
      </c>
      <c r="T45" s="160"/>
      <c r="U45" s="170"/>
    </row>
    <row r="46" spans="1:21" hidden="1" outlineLevel="2">
      <c r="A46" s="162"/>
      <c r="B46" s="171"/>
      <c r="C46" s="151" t="s">
        <v>505</v>
      </c>
      <c r="D46" s="339"/>
      <c r="E46" s="164"/>
      <c r="F46" s="165"/>
      <c r="G46" s="172"/>
      <c r="H46" s="164"/>
      <c r="I46" s="164"/>
      <c r="J46" s="164"/>
      <c r="K46" s="165"/>
      <c r="L46" s="234"/>
      <c r="M46" s="156"/>
      <c r="N46" s="168"/>
      <c r="O46" s="157"/>
      <c r="P46" s="165"/>
      <c r="Q46" s="158"/>
      <c r="R46" s="504"/>
      <c r="S46" s="159"/>
      <c r="T46" s="160"/>
      <c r="U46" s="170"/>
    </row>
    <row r="47" spans="1:21" hidden="1" outlineLevel="2">
      <c r="A47" s="162"/>
      <c r="B47" s="171"/>
      <c r="C47" s="174" t="s">
        <v>487</v>
      </c>
      <c r="D47" s="340"/>
      <c r="E47" s="164"/>
      <c r="F47" s="165"/>
      <c r="G47" s="172"/>
      <c r="H47" s="164"/>
      <c r="I47" s="164"/>
      <c r="J47" s="164"/>
      <c r="K47" s="165"/>
      <c r="L47" s="234"/>
      <c r="M47" s="156"/>
      <c r="N47" s="168"/>
      <c r="O47" s="157"/>
      <c r="P47" s="165"/>
      <c r="Q47" s="158"/>
      <c r="R47" s="223"/>
      <c r="S47" s="159"/>
      <c r="T47" s="160"/>
      <c r="U47" s="170"/>
    </row>
    <row r="48" spans="1:21" hidden="1" outlineLevel="2">
      <c r="A48" s="162"/>
      <c r="B48" s="171"/>
      <c r="C48" s="174" t="s">
        <v>479</v>
      </c>
      <c r="D48" s="340"/>
      <c r="E48" s="164"/>
      <c r="F48" s="165"/>
      <c r="G48" s="172"/>
      <c r="H48" s="164"/>
      <c r="I48" s="164"/>
      <c r="J48" s="164"/>
      <c r="K48" s="165"/>
      <c r="L48" s="234"/>
      <c r="M48" s="156"/>
      <c r="N48" s="168"/>
      <c r="O48" s="157"/>
      <c r="P48" s="165"/>
      <c r="Q48" s="158"/>
      <c r="R48" s="223"/>
      <c r="S48" s="159"/>
      <c r="T48" s="160"/>
      <c r="U48" s="170"/>
    </row>
    <row r="49" spans="1:21" hidden="1" outlineLevel="2">
      <c r="A49" s="162"/>
      <c r="B49" s="171"/>
      <c r="C49" s="174" t="s">
        <v>488</v>
      </c>
      <c r="D49" s="340"/>
      <c r="E49" s="164"/>
      <c r="F49" s="165"/>
      <c r="G49" s="172"/>
      <c r="H49" s="164"/>
      <c r="I49" s="164"/>
      <c r="J49" s="164"/>
      <c r="K49" s="165"/>
      <c r="L49" s="234"/>
      <c r="M49" s="156"/>
      <c r="N49" s="168"/>
      <c r="O49" s="157"/>
      <c r="P49" s="165"/>
      <c r="Q49" s="158"/>
      <c r="R49" s="223"/>
      <c r="S49" s="159"/>
      <c r="T49" s="160"/>
      <c r="U49" s="170"/>
    </row>
    <row r="50" spans="1:21" hidden="1" outlineLevel="2">
      <c r="A50" s="162"/>
      <c r="B50" s="171"/>
      <c r="C50" s="174" t="s">
        <v>489</v>
      </c>
      <c r="D50" s="340"/>
      <c r="E50" s="164"/>
      <c r="F50" s="165"/>
      <c r="G50" s="172"/>
      <c r="H50" s="164"/>
      <c r="I50" s="164"/>
      <c r="J50" s="164"/>
      <c r="K50" s="165"/>
      <c r="L50" s="234"/>
      <c r="M50" s="156"/>
      <c r="N50" s="168"/>
      <c r="O50" s="157"/>
      <c r="P50" s="165"/>
      <c r="Q50" s="158"/>
      <c r="R50" s="223"/>
      <c r="S50" s="159"/>
      <c r="T50" s="160"/>
      <c r="U50" s="170"/>
    </row>
    <row r="51" spans="1:21" hidden="1" outlineLevel="2">
      <c r="A51" s="162"/>
      <c r="B51" s="171"/>
      <c r="C51" s="151" t="s">
        <v>506</v>
      </c>
      <c r="D51" s="339"/>
      <c r="E51" s="164"/>
      <c r="F51" s="165"/>
      <c r="G51" s="172"/>
      <c r="H51" s="164"/>
      <c r="I51" s="164"/>
      <c r="J51" s="164"/>
      <c r="K51" s="165"/>
      <c r="L51" s="234"/>
      <c r="M51" s="156"/>
      <c r="N51" s="168"/>
      <c r="O51" s="157"/>
      <c r="P51" s="165"/>
      <c r="Q51" s="158"/>
      <c r="R51" s="223"/>
      <c r="S51" s="159"/>
      <c r="T51" s="160"/>
      <c r="U51" s="170"/>
    </row>
    <row r="52" spans="1:21" hidden="1" outlineLevel="2">
      <c r="A52" s="162"/>
      <c r="B52" s="171"/>
      <c r="C52" s="174" t="s">
        <v>491</v>
      </c>
      <c r="D52" s="340"/>
      <c r="E52" s="164"/>
      <c r="F52" s="165"/>
      <c r="G52" s="172"/>
      <c r="H52" s="164"/>
      <c r="I52" s="164"/>
      <c r="J52" s="164"/>
      <c r="K52" s="165"/>
      <c r="L52" s="234"/>
      <c r="M52" s="156"/>
      <c r="N52" s="168"/>
      <c r="O52" s="157"/>
      <c r="P52" s="165"/>
      <c r="Q52" s="158"/>
      <c r="R52" s="223"/>
      <c r="S52" s="159"/>
      <c r="T52" s="160"/>
      <c r="U52" s="170"/>
    </row>
    <row r="53" spans="1:21" hidden="1" outlineLevel="2">
      <c r="A53" s="162"/>
      <c r="B53" s="171"/>
      <c r="C53" s="174" t="s">
        <v>492</v>
      </c>
      <c r="D53" s="340"/>
      <c r="E53" s="164"/>
      <c r="F53" s="165"/>
      <c r="G53" s="172"/>
      <c r="H53" s="164"/>
      <c r="I53" s="164"/>
      <c r="J53" s="164"/>
      <c r="K53" s="165"/>
      <c r="L53" s="234"/>
      <c r="M53" s="156"/>
      <c r="N53" s="168"/>
      <c r="O53" s="157"/>
      <c r="P53" s="165"/>
      <c r="Q53" s="158"/>
      <c r="R53" s="223"/>
      <c r="S53" s="159"/>
      <c r="T53" s="160"/>
      <c r="U53" s="170"/>
    </row>
    <row r="54" spans="1:21" hidden="1" outlineLevel="2">
      <c r="A54" s="162"/>
      <c r="B54" s="171"/>
      <c r="C54" s="174" t="s">
        <v>493</v>
      </c>
      <c r="D54" s="340"/>
      <c r="E54" s="164"/>
      <c r="F54" s="165"/>
      <c r="G54" s="172"/>
      <c r="H54" s="164"/>
      <c r="I54" s="164"/>
      <c r="J54" s="164"/>
      <c r="K54" s="165"/>
      <c r="L54" s="234"/>
      <c r="M54" s="156"/>
      <c r="N54" s="168"/>
      <c r="O54" s="157"/>
      <c r="P54" s="165"/>
      <c r="Q54" s="158"/>
      <c r="R54" s="223"/>
      <c r="S54" s="159"/>
      <c r="T54" s="160"/>
      <c r="U54" s="170"/>
    </row>
    <row r="55" spans="1:21" hidden="1" outlineLevel="2">
      <c r="A55" s="162"/>
      <c r="B55" s="171"/>
      <c r="C55" s="174" t="s">
        <v>494</v>
      </c>
      <c r="D55" s="340"/>
      <c r="E55" s="164"/>
      <c r="F55" s="165"/>
      <c r="G55" s="172"/>
      <c r="H55" s="164"/>
      <c r="I55" s="164"/>
      <c r="J55" s="164"/>
      <c r="K55" s="165"/>
      <c r="L55" s="234"/>
      <c r="M55" s="156"/>
      <c r="N55" s="168"/>
      <c r="O55" s="157"/>
      <c r="P55" s="165"/>
      <c r="Q55" s="158"/>
      <c r="R55" s="223"/>
      <c r="S55" s="159"/>
      <c r="T55" s="160"/>
      <c r="U55" s="170"/>
    </row>
    <row r="56" spans="1:21" hidden="1" outlineLevel="2">
      <c r="A56" s="162"/>
      <c r="B56" s="171"/>
      <c r="C56" s="151" t="s">
        <v>507</v>
      </c>
      <c r="D56" s="339"/>
      <c r="E56" s="164"/>
      <c r="F56" s="165"/>
      <c r="G56" s="172"/>
      <c r="H56" s="164"/>
      <c r="I56" s="164"/>
      <c r="J56" s="164"/>
      <c r="K56" s="165"/>
      <c r="L56" s="234"/>
      <c r="M56" s="156"/>
      <c r="N56" s="168"/>
      <c r="O56" s="157"/>
      <c r="P56" s="165"/>
      <c r="Q56" s="158"/>
      <c r="R56" s="223"/>
      <c r="S56" s="159"/>
      <c r="T56" s="160"/>
      <c r="U56" s="170"/>
    </row>
    <row r="57" spans="1:21" hidden="1" outlineLevel="2">
      <c r="A57" s="162"/>
      <c r="B57" s="171"/>
      <c r="C57" s="174" t="s">
        <v>496</v>
      </c>
      <c r="D57" s="340"/>
      <c r="E57" s="164"/>
      <c r="F57" s="165"/>
      <c r="G57" s="172"/>
      <c r="H57" s="164"/>
      <c r="I57" s="164"/>
      <c r="J57" s="164"/>
      <c r="K57" s="165"/>
      <c r="L57" s="234"/>
      <c r="M57" s="156"/>
      <c r="N57" s="168"/>
      <c r="O57" s="157"/>
      <c r="P57" s="165"/>
      <c r="Q57" s="158"/>
      <c r="R57" s="223"/>
      <c r="S57" s="159"/>
      <c r="T57" s="160"/>
      <c r="U57" s="170"/>
    </row>
    <row r="58" spans="1:21" hidden="1" outlineLevel="2">
      <c r="A58" s="162"/>
      <c r="B58" s="171"/>
      <c r="C58" s="174" t="s">
        <v>497</v>
      </c>
      <c r="D58" s="340"/>
      <c r="E58" s="164"/>
      <c r="F58" s="165"/>
      <c r="G58" s="172"/>
      <c r="H58" s="164"/>
      <c r="I58" s="164"/>
      <c r="J58" s="164"/>
      <c r="K58" s="165"/>
      <c r="L58" s="234"/>
      <c r="M58" s="156"/>
      <c r="N58" s="168"/>
      <c r="O58" s="156">
        <v>100000</v>
      </c>
      <c r="P58" s="244">
        <f>O58*1.46</f>
        <v>146000</v>
      </c>
      <c r="Q58" s="158"/>
      <c r="R58" s="223"/>
      <c r="S58" s="159">
        <f>SUM(L58,N58,P58,R58)</f>
        <v>146000</v>
      </c>
      <c r="T58" s="160"/>
      <c r="U58" s="170" t="s">
        <v>498</v>
      </c>
    </row>
    <row r="59" spans="1:21" hidden="1" outlineLevel="2">
      <c r="A59" s="162"/>
      <c r="B59" s="171"/>
      <c r="C59" s="174" t="s">
        <v>499</v>
      </c>
      <c r="D59" s="340"/>
      <c r="E59" s="164"/>
      <c r="F59" s="165"/>
      <c r="G59" s="172"/>
      <c r="H59" s="164"/>
      <c r="I59" s="164"/>
      <c r="J59" s="164"/>
      <c r="K59" s="165"/>
      <c r="L59" s="234"/>
      <c r="M59" s="156"/>
      <c r="N59" s="168"/>
      <c r="O59" s="157"/>
      <c r="P59" s="180"/>
      <c r="Q59" s="158"/>
      <c r="R59" s="223"/>
      <c r="S59" s="159"/>
      <c r="T59" s="160"/>
      <c r="U59" s="170"/>
    </row>
    <row r="60" spans="1:21" hidden="1" outlineLevel="2">
      <c r="A60" s="162"/>
      <c r="B60" s="171"/>
      <c r="C60" s="174" t="s">
        <v>508</v>
      </c>
      <c r="D60" s="340"/>
      <c r="E60" s="164">
        <v>35000000</v>
      </c>
      <c r="F60" s="165">
        <v>750000</v>
      </c>
      <c r="G60" s="172">
        <f>CIP!$AR$6</f>
        <v>5000000</v>
      </c>
      <c r="H60" s="164">
        <f>CIP!$AS$6</f>
        <v>17499999.9375</v>
      </c>
      <c r="I60" s="164">
        <f>CIP!$AT$6</f>
        <v>14250000</v>
      </c>
      <c r="J60" s="164"/>
      <c r="K60" s="165"/>
      <c r="L60" s="234">
        <f>SUM(G60:K60)</f>
        <v>36749999.9375</v>
      </c>
      <c r="M60" s="156"/>
      <c r="N60" s="168"/>
      <c r="O60" s="157"/>
      <c r="P60" s="165"/>
      <c r="Q60" s="158"/>
      <c r="R60" s="223"/>
      <c r="S60" s="159">
        <f>SUM(L60,N60,P60,R60)</f>
        <v>36749999.9375</v>
      </c>
      <c r="T60" s="160"/>
      <c r="U60" s="170" t="s">
        <v>998</v>
      </c>
    </row>
    <row r="61" spans="1:21" ht="15.75" hidden="1" outlineLevel="1" collapsed="1">
      <c r="A61" s="162"/>
      <c r="B61" s="289"/>
      <c r="C61" s="151" t="s">
        <v>502</v>
      </c>
      <c r="D61" s="339"/>
      <c r="E61" s="164">
        <v>35000000</v>
      </c>
      <c r="F61" s="165">
        <f>SUM(F60)</f>
        <v>750000</v>
      </c>
      <c r="G61" s="249">
        <f>SUM(G60)</f>
        <v>5000000</v>
      </c>
      <c r="H61" s="244">
        <f>SUM(H54:H60)</f>
        <v>17499999.9375</v>
      </c>
      <c r="I61" s="244">
        <f>SUM(I57:I60)</f>
        <v>14250000</v>
      </c>
      <c r="J61" s="244"/>
      <c r="K61" s="248"/>
      <c r="L61" s="226">
        <f>SUM(G61:K61)</f>
        <v>36749999.9375</v>
      </c>
      <c r="M61" s="156"/>
      <c r="N61" s="250"/>
      <c r="O61" s="157">
        <f>SUM(O55:O60)</f>
        <v>100000</v>
      </c>
      <c r="P61" s="244">
        <f>O61*1.46</f>
        <v>146000</v>
      </c>
      <c r="Q61" s="158">
        <f>SUM(Q35:Q60)</f>
        <v>150000</v>
      </c>
      <c r="R61" s="255">
        <f>Q61*1.73</f>
        <v>259500</v>
      </c>
      <c r="S61" s="159">
        <f>SUM(L61,N61,P61,R61)</f>
        <v>37155499.9375</v>
      </c>
      <c r="T61" s="391" t="s">
        <v>360</v>
      </c>
      <c r="U61" s="170" t="s">
        <v>1333</v>
      </c>
    </row>
    <row r="62" spans="1:21" hidden="1" outlineLevel="2">
      <c r="A62" s="162"/>
      <c r="B62" s="151" t="s">
        <v>509</v>
      </c>
      <c r="C62" s="171"/>
      <c r="D62" s="345"/>
      <c r="E62" s="164"/>
      <c r="F62" s="165"/>
      <c r="G62" s="172"/>
      <c r="H62" s="164"/>
      <c r="I62" s="164"/>
      <c r="J62" s="164"/>
      <c r="K62" s="165"/>
      <c r="L62" s="167"/>
      <c r="M62" s="202"/>
      <c r="N62" s="244"/>
      <c r="O62" s="157"/>
      <c r="P62" s="244"/>
      <c r="Q62" s="158"/>
      <c r="R62" s="255"/>
      <c r="S62" s="159"/>
      <c r="T62" s="160"/>
      <c r="U62" s="170"/>
    </row>
    <row r="63" spans="1:21" ht="15.75" hidden="1" outlineLevel="2">
      <c r="A63" s="162"/>
      <c r="B63" s="152"/>
      <c r="C63" s="151" t="s">
        <v>503</v>
      </c>
      <c r="D63" s="339"/>
      <c r="E63" s="164"/>
      <c r="F63" s="165"/>
      <c r="G63" s="172"/>
      <c r="H63" s="164"/>
      <c r="I63" s="164"/>
      <c r="J63" s="164"/>
      <c r="K63" s="165"/>
      <c r="L63" s="167"/>
      <c r="M63" s="157"/>
      <c r="N63" s="244"/>
      <c r="O63" s="157"/>
      <c r="P63" s="244"/>
      <c r="Q63" s="158"/>
      <c r="R63" s="255"/>
      <c r="S63" s="159"/>
      <c r="T63" s="160"/>
      <c r="U63" s="170"/>
    </row>
    <row r="64" spans="1:21" ht="15.75" hidden="1" outlineLevel="2">
      <c r="A64" s="162"/>
      <c r="B64" s="152"/>
      <c r="C64" s="174" t="s">
        <v>510</v>
      </c>
      <c r="D64" s="340"/>
      <c r="E64" s="164"/>
      <c r="F64" s="165"/>
      <c r="G64" s="172"/>
      <c r="H64" s="164"/>
      <c r="I64" s="164"/>
      <c r="J64" s="164"/>
      <c r="K64" s="165"/>
      <c r="L64" s="167"/>
      <c r="M64" s="157"/>
      <c r="N64" s="244"/>
      <c r="O64" s="157"/>
      <c r="P64" s="244"/>
      <c r="Q64" s="158"/>
      <c r="R64" s="255"/>
      <c r="S64" s="159"/>
      <c r="T64" s="160"/>
      <c r="U64" s="170"/>
    </row>
    <row r="65" spans="1:21" ht="15.75" hidden="1" outlineLevel="2">
      <c r="A65" s="162"/>
      <c r="B65" s="152"/>
      <c r="C65" s="174" t="s">
        <v>478</v>
      </c>
      <c r="D65" s="340"/>
      <c r="E65" s="164"/>
      <c r="F65" s="165"/>
      <c r="G65" s="172"/>
      <c r="H65" s="164"/>
      <c r="I65" s="164"/>
      <c r="J65" s="164"/>
      <c r="K65" s="165"/>
      <c r="L65" s="167"/>
      <c r="M65" s="157"/>
      <c r="N65" s="244"/>
      <c r="O65" s="157"/>
      <c r="P65" s="244"/>
      <c r="Q65" s="158"/>
      <c r="R65" s="255"/>
      <c r="S65" s="159"/>
      <c r="T65" s="160"/>
      <c r="U65" s="170"/>
    </row>
    <row r="66" spans="1:21" ht="15.75" hidden="1" outlineLevel="2">
      <c r="A66" s="162"/>
      <c r="B66" s="152"/>
      <c r="C66" s="174" t="s">
        <v>479</v>
      </c>
      <c r="D66" s="340"/>
      <c r="E66" s="164"/>
      <c r="F66" s="165"/>
      <c r="G66" s="172"/>
      <c r="H66" s="164"/>
      <c r="I66" s="164"/>
      <c r="J66" s="164"/>
      <c r="K66" s="165"/>
      <c r="L66" s="220"/>
      <c r="M66" s="157"/>
      <c r="N66" s="244"/>
      <c r="O66" s="157"/>
      <c r="P66" s="244"/>
      <c r="Q66" s="158"/>
      <c r="R66" s="255"/>
      <c r="S66" s="159"/>
      <c r="T66" s="160"/>
      <c r="U66" s="161" t="s">
        <v>511</v>
      </c>
    </row>
    <row r="67" spans="1:21" ht="15.75" hidden="1" outlineLevel="2">
      <c r="A67" s="162"/>
      <c r="B67" s="152"/>
      <c r="C67" s="174" t="s">
        <v>480</v>
      </c>
      <c r="D67" s="340"/>
      <c r="E67" s="164"/>
      <c r="F67" s="165"/>
      <c r="G67" s="172"/>
      <c r="H67" s="164"/>
      <c r="I67" s="164"/>
      <c r="J67" s="164"/>
      <c r="K67" s="165"/>
      <c r="L67" s="167"/>
      <c r="M67" s="157"/>
      <c r="N67" s="244"/>
      <c r="O67" s="157"/>
      <c r="P67" s="244"/>
      <c r="Q67" s="158"/>
      <c r="R67" s="255"/>
      <c r="S67" s="159"/>
      <c r="T67" s="160"/>
      <c r="U67" s="170"/>
    </row>
    <row r="68" spans="1:21" ht="15.75" hidden="1" outlineLevel="2">
      <c r="A68" s="162"/>
      <c r="B68" s="152"/>
      <c r="C68" s="174" t="s">
        <v>512</v>
      </c>
      <c r="D68" s="340"/>
      <c r="E68" s="164"/>
      <c r="F68" s="165"/>
      <c r="G68" s="197"/>
      <c r="H68" s="164"/>
      <c r="I68" s="164"/>
      <c r="J68" s="164"/>
      <c r="K68" s="165"/>
      <c r="L68" s="167"/>
      <c r="M68" s="156"/>
      <c r="N68" s="244"/>
      <c r="O68" s="157"/>
      <c r="P68" s="244"/>
      <c r="Q68" s="158"/>
      <c r="R68" s="255"/>
      <c r="S68" s="159"/>
      <c r="T68" s="160"/>
      <c r="U68" s="170"/>
    </row>
    <row r="69" spans="1:21" ht="15.75" hidden="1" outlineLevel="2">
      <c r="A69" s="162"/>
      <c r="B69" s="152"/>
      <c r="C69" s="151" t="s">
        <v>504</v>
      </c>
      <c r="D69" s="339"/>
      <c r="E69" s="164"/>
      <c r="F69" s="165"/>
      <c r="G69" s="172"/>
      <c r="H69" s="164"/>
      <c r="I69" s="164"/>
      <c r="J69" s="164"/>
      <c r="K69" s="165"/>
      <c r="L69" s="167"/>
      <c r="M69" s="156"/>
      <c r="N69" s="244"/>
      <c r="O69" s="157"/>
      <c r="P69" s="244"/>
      <c r="Q69" s="158"/>
      <c r="R69" s="255"/>
      <c r="S69" s="159"/>
      <c r="T69" s="160"/>
      <c r="U69" s="170"/>
    </row>
    <row r="70" spans="1:21" ht="15.75" hidden="1" outlineLevel="2">
      <c r="A70" s="162"/>
      <c r="B70" s="152"/>
      <c r="C70" s="174" t="s">
        <v>483</v>
      </c>
      <c r="D70" s="340"/>
      <c r="E70" s="164"/>
      <c r="F70" s="165"/>
      <c r="G70" s="172"/>
      <c r="H70" s="164"/>
      <c r="I70" s="164"/>
      <c r="J70" s="164"/>
      <c r="K70" s="165"/>
      <c r="L70" s="167"/>
      <c r="M70" s="156"/>
      <c r="N70" s="244"/>
      <c r="O70" s="157"/>
      <c r="P70" s="244"/>
      <c r="Q70" s="158"/>
      <c r="R70" s="255"/>
      <c r="S70" s="159"/>
      <c r="T70" s="160"/>
      <c r="U70" s="170"/>
    </row>
    <row r="71" spans="1:21" ht="15.75" hidden="1" outlineLevel="2">
      <c r="A71" s="162"/>
      <c r="B71" s="152"/>
      <c r="C71" s="174" t="s">
        <v>484</v>
      </c>
      <c r="D71" s="340"/>
      <c r="E71" s="164"/>
      <c r="F71" s="165"/>
      <c r="G71" s="172"/>
      <c r="H71" s="164"/>
      <c r="I71" s="164"/>
      <c r="J71" s="164"/>
      <c r="K71" s="165"/>
      <c r="L71" s="167"/>
      <c r="M71" s="156"/>
      <c r="N71" s="244"/>
      <c r="O71" s="157"/>
      <c r="P71" s="244"/>
      <c r="Q71" s="158"/>
      <c r="R71" s="255"/>
      <c r="S71" s="159"/>
      <c r="T71" s="160"/>
      <c r="U71" s="170"/>
    </row>
    <row r="72" spans="1:21" ht="15.75" hidden="1" outlineLevel="2">
      <c r="A72" s="162"/>
      <c r="B72" s="152"/>
      <c r="C72" s="174" t="s">
        <v>479</v>
      </c>
      <c r="D72" s="340"/>
      <c r="E72" s="164"/>
      <c r="F72" s="165"/>
      <c r="G72" s="172"/>
      <c r="H72" s="164"/>
      <c r="I72" s="164"/>
      <c r="J72" s="164"/>
      <c r="K72" s="165"/>
      <c r="L72" s="167"/>
      <c r="M72" s="156"/>
      <c r="N72" s="244"/>
      <c r="O72" s="157"/>
      <c r="P72" s="244"/>
      <c r="Q72" s="158"/>
      <c r="R72" s="255"/>
      <c r="S72" s="159"/>
      <c r="T72" s="160"/>
      <c r="U72" s="170"/>
    </row>
    <row r="73" spans="1:21" ht="15.75" hidden="1" outlineLevel="2">
      <c r="A73" s="162"/>
      <c r="B73" s="152"/>
      <c r="C73" s="174" t="s">
        <v>485</v>
      </c>
      <c r="D73" s="340"/>
      <c r="E73" s="164"/>
      <c r="F73" s="165"/>
      <c r="G73" s="172"/>
      <c r="H73" s="164"/>
      <c r="I73" s="164"/>
      <c r="J73" s="164"/>
      <c r="K73" s="165"/>
      <c r="L73" s="167"/>
      <c r="M73" s="156"/>
      <c r="N73" s="244"/>
      <c r="O73" s="157"/>
      <c r="P73" s="244"/>
      <c r="Q73" s="158"/>
      <c r="R73" s="255"/>
      <c r="S73" s="159"/>
      <c r="T73" s="160"/>
      <c r="U73" s="170"/>
    </row>
    <row r="74" spans="1:21" ht="15.75" hidden="1" outlineLevel="2">
      <c r="A74" s="162"/>
      <c r="B74" s="152"/>
      <c r="C74" s="151" t="s">
        <v>513</v>
      </c>
      <c r="D74" s="339"/>
      <c r="E74" s="164"/>
      <c r="F74" s="165"/>
      <c r="G74" s="172"/>
      <c r="H74" s="164"/>
      <c r="I74" s="164"/>
      <c r="J74" s="164"/>
      <c r="K74" s="165"/>
      <c r="L74" s="167"/>
      <c r="M74" s="156"/>
      <c r="N74" s="244"/>
      <c r="O74" s="157"/>
      <c r="P74" s="244"/>
      <c r="Q74" s="158"/>
      <c r="R74" s="255"/>
      <c r="S74" s="159"/>
      <c r="T74" s="160"/>
      <c r="U74" s="170"/>
    </row>
    <row r="75" spans="1:21" ht="15.75" hidden="1" outlineLevel="2">
      <c r="A75" s="162"/>
      <c r="B75" s="152"/>
      <c r="C75" s="174" t="s">
        <v>487</v>
      </c>
      <c r="D75" s="340"/>
      <c r="E75" s="164"/>
      <c r="F75" s="165"/>
      <c r="G75" s="172"/>
      <c r="H75" s="164"/>
      <c r="I75" s="164"/>
      <c r="J75" s="164"/>
      <c r="K75" s="165"/>
      <c r="L75" s="167"/>
      <c r="M75" s="156"/>
      <c r="N75" s="244"/>
      <c r="O75" s="157"/>
      <c r="P75" s="244"/>
      <c r="Q75" s="158"/>
      <c r="R75" s="255"/>
      <c r="S75" s="159"/>
      <c r="T75" s="160"/>
      <c r="U75" s="170"/>
    </row>
    <row r="76" spans="1:21" ht="15.75" hidden="1" outlineLevel="2">
      <c r="A76" s="162"/>
      <c r="B76" s="152"/>
      <c r="C76" s="174" t="s">
        <v>479</v>
      </c>
      <c r="D76" s="340"/>
      <c r="E76" s="164"/>
      <c r="F76" s="165"/>
      <c r="G76" s="172"/>
      <c r="H76" s="164"/>
      <c r="I76" s="164"/>
      <c r="J76" s="164"/>
      <c r="K76" s="165"/>
      <c r="L76" s="167"/>
      <c r="M76" s="156"/>
      <c r="N76" s="244"/>
      <c r="O76" s="157"/>
      <c r="P76" s="244"/>
      <c r="Q76" s="158"/>
      <c r="R76" s="255"/>
      <c r="S76" s="159"/>
      <c r="T76" s="160"/>
      <c r="U76" s="170"/>
    </row>
    <row r="77" spans="1:21" ht="15.75" hidden="1" outlineLevel="2">
      <c r="A77" s="162"/>
      <c r="B77" s="152"/>
      <c r="C77" s="174" t="s">
        <v>488</v>
      </c>
      <c r="D77" s="340"/>
      <c r="E77" s="164"/>
      <c r="F77" s="165"/>
      <c r="G77" s="172"/>
      <c r="H77" s="164"/>
      <c r="I77" s="164"/>
      <c r="J77" s="164"/>
      <c r="K77" s="165"/>
      <c r="L77" s="167"/>
      <c r="M77" s="156"/>
      <c r="N77" s="244"/>
      <c r="O77" s="157"/>
      <c r="P77" s="244"/>
      <c r="Q77" s="158"/>
      <c r="R77" s="255"/>
      <c r="S77" s="159"/>
      <c r="T77" s="160"/>
      <c r="U77" s="170"/>
    </row>
    <row r="78" spans="1:21" ht="15.75" hidden="1" outlineLevel="2">
      <c r="A78" s="162"/>
      <c r="B78" s="152"/>
      <c r="C78" s="174" t="s">
        <v>489</v>
      </c>
      <c r="D78" s="340"/>
      <c r="E78" s="164"/>
      <c r="F78" s="165"/>
      <c r="G78" s="172"/>
      <c r="H78" s="164"/>
      <c r="I78" s="164"/>
      <c r="J78" s="164"/>
      <c r="K78" s="165"/>
      <c r="L78" s="167"/>
      <c r="M78" s="156"/>
      <c r="N78" s="244"/>
      <c r="O78" s="157"/>
      <c r="P78" s="244"/>
      <c r="Q78" s="158"/>
      <c r="R78" s="255"/>
      <c r="S78" s="159"/>
      <c r="T78" s="160"/>
      <c r="U78" s="170"/>
    </row>
    <row r="79" spans="1:21" ht="15.75" hidden="1" outlineLevel="2">
      <c r="A79" s="162"/>
      <c r="B79" s="152"/>
      <c r="C79" s="151" t="s">
        <v>506</v>
      </c>
      <c r="D79" s="339"/>
      <c r="E79" s="164"/>
      <c r="F79" s="165"/>
      <c r="G79" s="172"/>
      <c r="H79" s="164"/>
      <c r="I79" s="164"/>
      <c r="J79" s="164"/>
      <c r="K79" s="165"/>
      <c r="L79" s="167"/>
      <c r="M79" s="156"/>
      <c r="N79" s="244"/>
      <c r="O79" s="157"/>
      <c r="P79" s="244"/>
      <c r="Q79" s="158"/>
      <c r="R79" s="255"/>
      <c r="S79" s="159"/>
      <c r="T79" s="160"/>
      <c r="U79" s="170"/>
    </row>
    <row r="80" spans="1:21" ht="15.75" hidden="1" outlineLevel="2">
      <c r="A80" s="162"/>
      <c r="B80" s="152"/>
      <c r="C80" s="174" t="s">
        <v>491</v>
      </c>
      <c r="D80" s="340"/>
      <c r="E80" s="164"/>
      <c r="F80" s="165"/>
      <c r="G80" s="172"/>
      <c r="H80" s="164"/>
      <c r="I80" s="164"/>
      <c r="J80" s="164"/>
      <c r="K80" s="165"/>
      <c r="L80" s="167"/>
      <c r="M80" s="156"/>
      <c r="N80" s="244"/>
      <c r="O80" s="157"/>
      <c r="P80" s="244"/>
      <c r="Q80" s="158"/>
      <c r="R80" s="255"/>
      <c r="S80" s="159"/>
      <c r="T80" s="160"/>
      <c r="U80" s="170"/>
    </row>
    <row r="81" spans="1:21" ht="15.75" hidden="1" outlineLevel="2">
      <c r="A81" s="162"/>
      <c r="B81" s="152"/>
      <c r="C81" s="174" t="s">
        <v>492</v>
      </c>
      <c r="D81" s="340"/>
      <c r="E81" s="164"/>
      <c r="F81" s="165"/>
      <c r="G81" s="172"/>
      <c r="H81" s="164"/>
      <c r="I81" s="164"/>
      <c r="J81" s="164"/>
      <c r="K81" s="165"/>
      <c r="L81" s="167"/>
      <c r="M81" s="156"/>
      <c r="N81" s="244"/>
      <c r="O81" s="157"/>
      <c r="P81" s="244"/>
      <c r="Q81" s="158"/>
      <c r="R81" s="255"/>
      <c r="S81" s="159"/>
      <c r="T81" s="160"/>
      <c r="U81" s="170"/>
    </row>
    <row r="82" spans="1:21" ht="15.75" hidden="1" outlineLevel="2">
      <c r="A82" s="162"/>
      <c r="B82" s="152"/>
      <c r="C82" s="174" t="s">
        <v>493</v>
      </c>
      <c r="D82" s="340"/>
      <c r="E82" s="164"/>
      <c r="F82" s="165"/>
      <c r="G82" s="172"/>
      <c r="H82" s="164"/>
      <c r="I82" s="164"/>
      <c r="J82" s="164"/>
      <c r="K82" s="165"/>
      <c r="L82" s="167"/>
      <c r="M82" s="156"/>
      <c r="N82" s="244"/>
      <c r="O82" s="157"/>
      <c r="P82" s="244"/>
      <c r="Q82" s="158"/>
      <c r="R82" s="255"/>
      <c r="S82" s="159"/>
      <c r="T82" s="160"/>
      <c r="U82" s="170"/>
    </row>
    <row r="83" spans="1:21" ht="15.75" hidden="1" outlineLevel="2">
      <c r="A83" s="162"/>
      <c r="B83" s="152"/>
      <c r="C83" s="174" t="s">
        <v>494</v>
      </c>
      <c r="D83" s="340"/>
      <c r="E83" s="164"/>
      <c r="F83" s="165"/>
      <c r="G83" s="172"/>
      <c r="H83" s="164"/>
      <c r="I83" s="164"/>
      <c r="J83" s="164"/>
      <c r="K83" s="165"/>
      <c r="L83" s="167"/>
      <c r="M83" s="156"/>
      <c r="N83" s="244"/>
      <c r="O83" s="157"/>
      <c r="P83" s="244"/>
      <c r="Q83" s="158"/>
      <c r="R83" s="255"/>
      <c r="S83" s="159"/>
      <c r="T83" s="160"/>
      <c r="U83" s="170"/>
    </row>
    <row r="84" spans="1:21" ht="15.75" hidden="1" outlineLevel="2">
      <c r="A84" s="162"/>
      <c r="B84" s="152"/>
      <c r="C84" s="151" t="s">
        <v>507</v>
      </c>
      <c r="D84" s="339"/>
      <c r="E84" s="164"/>
      <c r="F84" s="165"/>
      <c r="G84" s="172"/>
      <c r="H84" s="164"/>
      <c r="I84" s="164"/>
      <c r="J84" s="164"/>
      <c r="K84" s="165"/>
      <c r="L84" s="167"/>
      <c r="M84" s="156" t="s">
        <v>514</v>
      </c>
      <c r="N84" s="244"/>
      <c r="O84" s="157"/>
      <c r="P84" s="244"/>
      <c r="Q84" s="158"/>
      <c r="R84" s="255"/>
      <c r="S84" s="159"/>
      <c r="T84" s="160"/>
      <c r="U84" s="170"/>
    </row>
    <row r="85" spans="1:21" ht="15.75" hidden="1" outlineLevel="2">
      <c r="A85" s="162"/>
      <c r="B85" s="152"/>
      <c r="C85" s="174" t="s">
        <v>496</v>
      </c>
      <c r="D85" s="340"/>
      <c r="E85" s="164"/>
      <c r="F85" s="165"/>
      <c r="G85" s="172"/>
      <c r="H85" s="164"/>
      <c r="I85" s="164"/>
      <c r="J85" s="164"/>
      <c r="K85" s="165"/>
      <c r="L85" s="167"/>
      <c r="M85" s="156"/>
      <c r="N85" s="244"/>
      <c r="O85" s="157"/>
      <c r="P85" s="244"/>
      <c r="Q85" s="158"/>
      <c r="R85" s="255"/>
      <c r="S85" s="159"/>
      <c r="T85" s="160"/>
      <c r="U85" s="170"/>
    </row>
    <row r="86" spans="1:21" ht="15.75" hidden="1" outlineLevel="2">
      <c r="A86" s="162"/>
      <c r="B86" s="152"/>
      <c r="C86" s="174" t="s">
        <v>497</v>
      </c>
      <c r="D86" s="340"/>
      <c r="E86" s="164"/>
      <c r="F86" s="165"/>
      <c r="G86" s="172"/>
      <c r="H86" s="164"/>
      <c r="I86" s="164"/>
      <c r="J86" s="164"/>
      <c r="K86" s="165"/>
      <c r="L86" s="167"/>
      <c r="M86" s="156"/>
      <c r="N86" s="244"/>
      <c r="O86" s="157"/>
      <c r="P86" s="244"/>
      <c r="Q86" s="158"/>
      <c r="R86" s="255"/>
      <c r="S86" s="159"/>
      <c r="T86" s="160"/>
      <c r="U86" s="170"/>
    </row>
    <row r="87" spans="1:21" ht="15.75" hidden="1" outlineLevel="2">
      <c r="A87" s="162"/>
      <c r="B87" s="152"/>
      <c r="C87" s="174" t="s">
        <v>499</v>
      </c>
      <c r="D87" s="340"/>
      <c r="E87" s="164"/>
      <c r="F87" s="165"/>
      <c r="G87" s="172"/>
      <c r="H87" s="164"/>
      <c r="I87" s="164"/>
      <c r="J87" s="164"/>
      <c r="K87" s="165"/>
      <c r="L87" s="167"/>
      <c r="M87" s="156"/>
      <c r="N87" s="244"/>
      <c r="O87" s="157"/>
      <c r="P87" s="244"/>
      <c r="Q87" s="158"/>
      <c r="R87" s="255"/>
      <c r="S87" s="159"/>
      <c r="T87" s="160"/>
      <c r="U87" s="170"/>
    </row>
    <row r="88" spans="1:21" ht="15.75" hidden="1" outlineLevel="2">
      <c r="A88" s="162"/>
      <c r="B88" s="152"/>
      <c r="C88" s="174" t="s">
        <v>508</v>
      </c>
      <c r="D88" s="340"/>
      <c r="E88" s="164"/>
      <c r="F88" s="165"/>
      <c r="G88" s="172">
        <f>CIP!$AR$15</f>
        <v>188000</v>
      </c>
      <c r="H88" s="164"/>
      <c r="I88" s="164">
        <f>CIP!$AT$15</f>
        <v>0</v>
      </c>
      <c r="J88" s="164">
        <f>CIP!$AU$15</f>
        <v>0</v>
      </c>
      <c r="K88" s="164"/>
      <c r="L88" s="234">
        <f>SUM(G88:K88)</f>
        <v>188000</v>
      </c>
      <c r="M88" s="156"/>
      <c r="N88" s="244"/>
      <c r="O88" s="157"/>
      <c r="P88" s="244"/>
      <c r="Q88" s="158"/>
      <c r="R88" s="255"/>
      <c r="S88" s="159">
        <f>SUM(L88,N88,P88,R88)</f>
        <v>188000</v>
      </c>
      <c r="T88" s="160"/>
      <c r="U88" s="170" t="s">
        <v>1294</v>
      </c>
    </row>
    <row r="89" spans="1:21" ht="15.75" hidden="1" outlineLevel="2">
      <c r="A89" s="162"/>
      <c r="B89" s="152"/>
      <c r="C89" s="198" t="s">
        <v>515</v>
      </c>
      <c r="D89" s="342"/>
      <c r="E89" s="164"/>
      <c r="F89" s="165"/>
      <c r="G89" s="172"/>
      <c r="H89" s="164"/>
      <c r="I89" s="164"/>
      <c r="J89" s="164"/>
      <c r="K89" s="165"/>
      <c r="L89" s="167"/>
      <c r="M89" s="156"/>
      <c r="N89" s="244"/>
      <c r="O89" s="157"/>
      <c r="P89" s="244"/>
      <c r="Q89" s="158"/>
      <c r="R89" s="255"/>
      <c r="S89" s="159"/>
      <c r="T89" s="160"/>
      <c r="U89" s="170"/>
    </row>
    <row r="90" spans="1:21" s="135" customFormat="1" ht="15.75" hidden="1" outlineLevel="1" collapsed="1">
      <c r="A90" s="229"/>
      <c r="B90" s="289"/>
      <c r="C90" s="151" t="s">
        <v>509</v>
      </c>
      <c r="D90" s="339"/>
      <c r="E90" s="157">
        <v>30000000</v>
      </c>
      <c r="F90" s="248"/>
      <c r="G90" s="249">
        <f>SUM(G88:G89)</f>
        <v>188000</v>
      </c>
      <c r="H90" s="244"/>
      <c r="I90" s="244">
        <f>SUM(I88:I89)</f>
        <v>0</v>
      </c>
      <c r="J90" s="244">
        <f>SUM(J88:J89)</f>
        <v>0</v>
      </c>
      <c r="K90" s="244"/>
      <c r="L90" s="226">
        <f>SUM(G90:K90)</f>
        <v>188000</v>
      </c>
      <c r="M90" s="202"/>
      <c r="N90" s="244"/>
      <c r="O90" s="157"/>
      <c r="P90" s="244"/>
      <c r="Q90" s="158"/>
      <c r="R90" s="255"/>
      <c r="S90" s="159">
        <f>SUM(L90,N90,P90,R90)</f>
        <v>188000</v>
      </c>
      <c r="T90" s="391"/>
      <c r="U90" s="170" t="s">
        <v>1333</v>
      </c>
    </row>
    <row r="91" spans="1:21" hidden="1" outlineLevel="2">
      <c r="A91" s="162"/>
      <c r="B91" s="151" t="s">
        <v>516</v>
      </c>
      <c r="C91" s="171"/>
      <c r="D91" s="345"/>
      <c r="E91" s="164"/>
      <c r="F91" s="165"/>
      <c r="G91" s="172"/>
      <c r="H91" s="164"/>
      <c r="I91" s="164"/>
      <c r="J91" s="164"/>
      <c r="K91" s="202"/>
      <c r="L91" s="167"/>
      <c r="M91" s="202"/>
      <c r="N91" s="244"/>
      <c r="O91" s="157"/>
      <c r="P91" s="244"/>
      <c r="Q91" s="158"/>
      <c r="R91" s="255"/>
      <c r="S91" s="159"/>
      <c r="T91" s="160"/>
      <c r="U91" s="170"/>
    </row>
    <row r="92" spans="1:21" ht="15.75" hidden="1" outlineLevel="2">
      <c r="A92" s="162"/>
      <c r="B92" s="152"/>
      <c r="C92" s="151" t="s">
        <v>503</v>
      </c>
      <c r="D92" s="339"/>
      <c r="E92" s="164"/>
      <c r="F92" s="165"/>
      <c r="G92" s="172"/>
      <c r="H92" s="164"/>
      <c r="I92" s="164"/>
      <c r="J92" s="164"/>
      <c r="K92" s="165"/>
      <c r="L92" s="167"/>
      <c r="M92" s="156"/>
      <c r="N92" s="244"/>
      <c r="O92" s="157"/>
      <c r="P92" s="244"/>
      <c r="Q92" s="158"/>
      <c r="R92" s="255"/>
      <c r="S92" s="159"/>
      <c r="T92" s="160"/>
      <c r="U92" s="170"/>
    </row>
    <row r="93" spans="1:21" ht="15.75" hidden="1" outlineLevel="2">
      <c r="A93" s="162"/>
      <c r="B93" s="152"/>
      <c r="C93" s="174" t="s">
        <v>510</v>
      </c>
      <c r="D93" s="340"/>
      <c r="E93" s="164"/>
      <c r="F93" s="165"/>
      <c r="G93" s="172"/>
      <c r="H93" s="164"/>
      <c r="I93" s="164"/>
      <c r="J93" s="164"/>
      <c r="K93" s="165"/>
      <c r="L93" s="167"/>
      <c r="M93" s="156"/>
      <c r="N93" s="244"/>
      <c r="O93" s="157"/>
      <c r="P93" s="244"/>
      <c r="Q93" s="158"/>
      <c r="R93" s="255"/>
      <c r="S93" s="159"/>
      <c r="T93" s="160"/>
      <c r="U93" s="170" t="s">
        <v>517</v>
      </c>
    </row>
    <row r="94" spans="1:21" ht="15.75" hidden="1" outlineLevel="2">
      <c r="A94" s="162"/>
      <c r="B94" s="152"/>
      <c r="C94" s="174" t="s">
        <v>478</v>
      </c>
      <c r="D94" s="340"/>
      <c r="E94" s="164"/>
      <c r="F94" s="165"/>
      <c r="G94" s="172"/>
      <c r="H94" s="164"/>
      <c r="I94" s="164"/>
      <c r="J94" s="164"/>
      <c r="K94" s="165"/>
      <c r="L94" s="155"/>
      <c r="M94" s="156"/>
      <c r="N94" s="244"/>
      <c r="O94" s="157"/>
      <c r="P94" s="244"/>
      <c r="Q94" s="158"/>
      <c r="R94" s="255"/>
      <c r="S94" s="159"/>
      <c r="T94" s="160"/>
      <c r="U94" s="170"/>
    </row>
    <row r="95" spans="1:21" ht="15.75" hidden="1" outlineLevel="2">
      <c r="A95" s="162"/>
      <c r="B95" s="152"/>
      <c r="C95" s="174" t="s">
        <v>479</v>
      </c>
      <c r="D95" s="340"/>
      <c r="E95" s="164"/>
      <c r="F95" s="165"/>
      <c r="G95" s="172"/>
      <c r="H95" s="164"/>
      <c r="I95" s="164"/>
      <c r="J95" s="164"/>
      <c r="K95" s="165"/>
      <c r="L95" s="196"/>
      <c r="M95" s="199"/>
      <c r="N95" s="244"/>
      <c r="O95" s="157"/>
      <c r="P95" s="244"/>
      <c r="Q95" s="158"/>
      <c r="R95" s="255"/>
      <c r="S95" s="159"/>
      <c r="T95" s="160"/>
      <c r="U95" s="170"/>
    </row>
    <row r="96" spans="1:21" ht="15.75" hidden="1" outlineLevel="2">
      <c r="A96" s="162"/>
      <c r="B96" s="152"/>
      <c r="C96" s="174" t="s">
        <v>480</v>
      </c>
      <c r="D96" s="340"/>
      <c r="E96" s="164"/>
      <c r="F96" s="165"/>
      <c r="G96" s="172"/>
      <c r="H96" s="164"/>
      <c r="I96" s="164"/>
      <c r="J96" s="164"/>
      <c r="K96" s="165"/>
      <c r="L96" s="155"/>
      <c r="M96" s="156"/>
      <c r="N96" s="244"/>
      <c r="O96" s="157"/>
      <c r="P96" s="244"/>
      <c r="Q96" s="158"/>
      <c r="R96" s="255"/>
      <c r="S96" s="159"/>
      <c r="T96" s="160"/>
      <c r="U96" s="170"/>
    </row>
    <row r="97" spans="1:21" ht="15.75" hidden="1" outlineLevel="2">
      <c r="A97" s="162"/>
      <c r="B97" s="152"/>
      <c r="C97" s="174" t="s">
        <v>512</v>
      </c>
      <c r="D97" s="340"/>
      <c r="E97" s="211"/>
      <c r="F97" s="163"/>
      <c r="G97" s="197"/>
      <c r="H97" s="164"/>
      <c r="I97" s="164"/>
      <c r="J97" s="164"/>
      <c r="K97" s="165"/>
      <c r="L97" s="155"/>
      <c r="M97" s="156"/>
      <c r="N97" s="244"/>
      <c r="O97" s="157"/>
      <c r="P97" s="244"/>
      <c r="Q97" s="158"/>
      <c r="R97" s="255"/>
      <c r="S97" s="159"/>
      <c r="T97" s="160"/>
      <c r="U97" s="170" t="s">
        <v>1141</v>
      </c>
    </row>
    <row r="98" spans="1:21" ht="15.75" hidden="1" outlineLevel="2">
      <c r="A98" s="162"/>
      <c r="B98" s="152"/>
      <c r="C98" s="151" t="s">
        <v>504</v>
      </c>
      <c r="D98" s="339"/>
      <c r="E98" s="164"/>
      <c r="F98" s="165"/>
      <c r="G98" s="172"/>
      <c r="H98" s="164"/>
      <c r="I98" s="164"/>
      <c r="J98" s="164"/>
      <c r="K98" s="165"/>
      <c r="L98" s="155"/>
      <c r="M98" s="156"/>
      <c r="N98" s="244"/>
      <c r="O98" s="157"/>
      <c r="P98" s="244"/>
      <c r="Q98" s="158"/>
      <c r="R98" s="255"/>
      <c r="S98" s="159"/>
      <c r="T98" s="160"/>
      <c r="U98" s="170"/>
    </row>
    <row r="99" spans="1:21" ht="15.75" hidden="1" outlineLevel="2">
      <c r="A99" s="162"/>
      <c r="B99" s="152"/>
      <c r="C99" s="174" t="s">
        <v>483</v>
      </c>
      <c r="D99" s="340"/>
      <c r="E99" s="164"/>
      <c r="F99" s="165"/>
      <c r="G99" s="172"/>
      <c r="H99" s="164"/>
      <c r="I99" s="164"/>
      <c r="J99" s="164"/>
      <c r="K99" s="165"/>
      <c r="L99" s="155"/>
      <c r="M99" s="156"/>
      <c r="N99" s="244"/>
      <c r="O99" s="157"/>
      <c r="P99" s="244"/>
      <c r="Q99" s="158"/>
      <c r="R99" s="255"/>
      <c r="S99" s="159"/>
      <c r="T99" s="160"/>
      <c r="U99" s="170"/>
    </row>
    <row r="100" spans="1:21" ht="15.75" hidden="1" outlineLevel="2">
      <c r="A100" s="162"/>
      <c r="B100" s="152"/>
      <c r="C100" s="174" t="s">
        <v>484</v>
      </c>
      <c r="D100" s="340"/>
      <c r="E100" s="164"/>
      <c r="F100" s="165"/>
      <c r="G100" s="172" t="e">
        <f>CIP!#REF!</f>
        <v>#REF!</v>
      </c>
      <c r="H100" s="164"/>
      <c r="I100" s="164"/>
      <c r="J100" s="164"/>
      <c r="K100" s="165"/>
      <c r="L100" s="155" t="e">
        <f>SUM(G100:K100)</f>
        <v>#REF!</v>
      </c>
      <c r="M100" s="156"/>
      <c r="N100" s="244"/>
      <c r="O100" s="157"/>
      <c r="P100" s="244"/>
      <c r="Q100" s="158"/>
      <c r="R100" s="255"/>
      <c r="S100" s="159" t="e">
        <f>SUM(L100,N100,P100,R100)</f>
        <v>#REF!</v>
      </c>
      <c r="T100" s="160"/>
      <c r="U100" s="170" t="s">
        <v>1147</v>
      </c>
    </row>
    <row r="101" spans="1:21" ht="15.75" hidden="1" outlineLevel="2">
      <c r="A101" s="162"/>
      <c r="B101" s="152"/>
      <c r="C101" s="174" t="s">
        <v>479</v>
      </c>
      <c r="D101" s="340"/>
      <c r="E101" s="164"/>
      <c r="F101" s="165"/>
      <c r="G101" s="172"/>
      <c r="H101" s="164"/>
      <c r="I101" s="164"/>
      <c r="J101" s="164"/>
      <c r="K101" s="165"/>
      <c r="L101" s="155"/>
      <c r="M101" s="156"/>
      <c r="N101" s="244"/>
      <c r="O101" s="157"/>
      <c r="P101" s="244"/>
      <c r="Q101" s="158"/>
      <c r="R101" s="255"/>
      <c r="S101" s="159"/>
      <c r="T101" s="160"/>
      <c r="U101" s="170"/>
    </row>
    <row r="102" spans="1:21" ht="15.75" hidden="1" outlineLevel="2">
      <c r="A102" s="162"/>
      <c r="B102" s="152"/>
      <c r="C102" s="174" t="s">
        <v>485</v>
      </c>
      <c r="D102" s="340"/>
      <c r="E102" s="164"/>
      <c r="F102" s="165"/>
      <c r="G102" s="172"/>
      <c r="H102" s="164"/>
      <c r="I102" s="164"/>
      <c r="J102" s="164"/>
      <c r="K102" s="165"/>
      <c r="L102" s="155"/>
      <c r="M102" s="156"/>
      <c r="N102" s="244"/>
      <c r="O102" s="157"/>
      <c r="P102" s="244"/>
      <c r="Q102" s="158"/>
      <c r="R102" s="255"/>
      <c r="S102" s="159"/>
      <c r="T102" s="160"/>
      <c r="U102" s="170"/>
    </row>
    <row r="103" spans="1:21" ht="15.75" hidden="1" outlineLevel="2">
      <c r="A103" s="162"/>
      <c r="B103" s="152"/>
      <c r="C103" s="151" t="s">
        <v>513</v>
      </c>
      <c r="D103" s="339"/>
      <c r="E103" s="164"/>
      <c r="F103" s="165"/>
      <c r="G103" s="172"/>
      <c r="H103" s="164"/>
      <c r="I103" s="164"/>
      <c r="J103" s="164"/>
      <c r="K103" s="165"/>
      <c r="L103" s="155"/>
      <c r="M103" s="156"/>
      <c r="N103" s="244"/>
      <c r="O103" s="157"/>
      <c r="P103" s="244"/>
      <c r="Q103" s="158"/>
      <c r="R103" s="255"/>
      <c r="S103" s="159"/>
      <c r="T103" s="160"/>
      <c r="U103" s="170"/>
    </row>
    <row r="104" spans="1:21" ht="15.75" hidden="1" outlineLevel="2">
      <c r="A104" s="162"/>
      <c r="B104" s="152"/>
      <c r="C104" s="174" t="s">
        <v>487</v>
      </c>
      <c r="D104" s="340"/>
      <c r="E104" s="164"/>
      <c r="F104" s="165"/>
      <c r="G104" s="172"/>
      <c r="H104" s="164"/>
      <c r="I104" s="164"/>
      <c r="J104" s="164"/>
      <c r="K104" s="165"/>
      <c r="L104" s="155"/>
      <c r="M104" s="156"/>
      <c r="N104" s="244"/>
      <c r="O104" s="157"/>
      <c r="P104" s="244"/>
      <c r="Q104" s="158"/>
      <c r="R104" s="255"/>
      <c r="S104" s="159"/>
      <c r="T104" s="160"/>
      <c r="U104" s="170"/>
    </row>
    <row r="105" spans="1:21" ht="15.75" hidden="1" outlineLevel="2">
      <c r="A105" s="162"/>
      <c r="B105" s="152"/>
      <c r="C105" s="174" t="s">
        <v>479</v>
      </c>
      <c r="D105" s="340"/>
      <c r="E105" s="164"/>
      <c r="F105" s="165"/>
      <c r="G105" s="172"/>
      <c r="H105" s="164"/>
      <c r="I105" s="164"/>
      <c r="J105" s="164"/>
      <c r="K105" s="165"/>
      <c r="L105" s="155"/>
      <c r="M105" s="156"/>
      <c r="N105" s="244"/>
      <c r="O105" s="157"/>
      <c r="P105" s="244"/>
      <c r="Q105" s="158"/>
      <c r="R105" s="255"/>
      <c r="S105" s="159"/>
      <c r="T105" s="160"/>
      <c r="U105" s="170"/>
    </row>
    <row r="106" spans="1:21" ht="15.75" hidden="1" outlineLevel="2">
      <c r="A106" s="162"/>
      <c r="B106" s="152"/>
      <c r="C106" s="174" t="s">
        <v>488</v>
      </c>
      <c r="D106" s="340"/>
      <c r="E106" s="164"/>
      <c r="F106" s="165"/>
      <c r="G106" s="172"/>
      <c r="H106" s="164"/>
      <c r="I106" s="164"/>
      <c r="J106" s="164"/>
      <c r="K106" s="201"/>
      <c r="L106" s="167"/>
      <c r="M106" s="156"/>
      <c r="N106" s="244"/>
      <c r="O106" s="157"/>
      <c r="P106" s="244"/>
      <c r="Q106" s="158"/>
      <c r="R106" s="255"/>
      <c r="S106" s="159"/>
      <c r="T106" s="160"/>
      <c r="U106" s="170"/>
    </row>
    <row r="107" spans="1:21" ht="15.75" hidden="1" outlineLevel="2">
      <c r="A107" s="162"/>
      <c r="B107" s="152"/>
      <c r="C107" s="174" t="s">
        <v>489</v>
      </c>
      <c r="D107" s="340"/>
      <c r="E107" s="164"/>
      <c r="F107" s="165"/>
      <c r="G107" s="172"/>
      <c r="H107" s="164"/>
      <c r="I107" s="164"/>
      <c r="J107" s="164"/>
      <c r="K107" s="165"/>
      <c r="L107" s="155"/>
      <c r="M107" s="156"/>
      <c r="N107" s="244"/>
      <c r="O107" s="157"/>
      <c r="P107" s="244"/>
      <c r="Q107" s="158"/>
      <c r="R107" s="255"/>
      <c r="S107" s="159"/>
      <c r="T107" s="160"/>
      <c r="U107" s="170"/>
    </row>
    <row r="108" spans="1:21" ht="15.75" hidden="1" outlineLevel="2">
      <c r="A108" s="162"/>
      <c r="B108" s="152"/>
      <c r="C108" s="151" t="s">
        <v>506</v>
      </c>
      <c r="D108" s="339"/>
      <c r="E108" s="164"/>
      <c r="F108" s="165"/>
      <c r="G108" s="172"/>
      <c r="H108" s="164"/>
      <c r="I108" s="164"/>
      <c r="J108" s="164"/>
      <c r="K108" s="165"/>
      <c r="L108" s="155"/>
      <c r="M108" s="156"/>
      <c r="N108" s="244"/>
      <c r="O108" s="157"/>
      <c r="P108" s="244"/>
      <c r="Q108" s="158"/>
      <c r="R108" s="255"/>
      <c r="S108" s="159"/>
      <c r="T108" s="160"/>
      <c r="U108" s="170"/>
    </row>
    <row r="109" spans="1:21" ht="15.75" hidden="1" outlineLevel="2">
      <c r="A109" s="162"/>
      <c r="B109" s="152"/>
      <c r="C109" s="174" t="s">
        <v>491</v>
      </c>
      <c r="D109" s="340"/>
      <c r="E109" s="164"/>
      <c r="F109" s="165"/>
      <c r="G109" s="172"/>
      <c r="H109" s="164"/>
      <c r="I109" s="164"/>
      <c r="J109" s="164"/>
      <c r="K109" s="165"/>
      <c r="L109" s="155"/>
      <c r="M109" s="156"/>
      <c r="N109" s="244"/>
      <c r="O109" s="157"/>
      <c r="P109" s="244"/>
      <c r="Q109" s="158"/>
      <c r="R109" s="255"/>
      <c r="S109" s="159"/>
      <c r="T109" s="160"/>
      <c r="U109" s="170"/>
    </row>
    <row r="110" spans="1:21" ht="15.75" hidden="1" outlineLevel="2">
      <c r="A110" s="162"/>
      <c r="B110" s="152"/>
      <c r="C110" s="174" t="s">
        <v>492</v>
      </c>
      <c r="D110" s="340"/>
      <c r="E110" s="164"/>
      <c r="F110" s="165"/>
      <c r="G110" s="172"/>
      <c r="H110" s="164"/>
      <c r="I110" s="164"/>
      <c r="J110" s="164"/>
      <c r="K110" s="165"/>
      <c r="L110" s="155"/>
      <c r="M110" s="156"/>
      <c r="N110" s="244"/>
      <c r="O110" s="157"/>
      <c r="P110" s="244"/>
      <c r="Q110" s="158"/>
      <c r="R110" s="255"/>
      <c r="S110" s="159"/>
      <c r="T110" s="160"/>
      <c r="U110" s="170"/>
    </row>
    <row r="111" spans="1:21" ht="15.75" hidden="1" outlineLevel="2">
      <c r="A111" s="162"/>
      <c r="B111" s="152"/>
      <c r="C111" s="174" t="s">
        <v>493</v>
      </c>
      <c r="D111" s="340"/>
      <c r="E111" s="164"/>
      <c r="F111" s="165"/>
      <c r="G111" s="172"/>
      <c r="H111" s="164"/>
      <c r="I111" s="164"/>
      <c r="J111" s="164"/>
      <c r="K111" s="165"/>
      <c r="L111" s="155"/>
      <c r="M111" s="156"/>
      <c r="N111" s="244"/>
      <c r="O111" s="157"/>
      <c r="P111" s="244"/>
      <c r="Q111" s="158"/>
      <c r="R111" s="255"/>
      <c r="S111" s="159"/>
      <c r="T111" s="160"/>
      <c r="U111" s="170"/>
    </row>
    <row r="112" spans="1:21" ht="15.75" hidden="1" outlineLevel="2">
      <c r="A112" s="162"/>
      <c r="B112" s="152"/>
      <c r="C112" s="174" t="s">
        <v>494</v>
      </c>
      <c r="D112" s="340"/>
      <c r="E112" s="164"/>
      <c r="F112" s="165"/>
      <c r="G112" s="172"/>
      <c r="H112" s="164"/>
      <c r="I112" s="164"/>
      <c r="J112" s="164"/>
      <c r="K112" s="165"/>
      <c r="L112" s="155"/>
      <c r="M112" s="156"/>
      <c r="N112" s="244"/>
      <c r="O112" s="157"/>
      <c r="P112" s="244"/>
      <c r="Q112" s="158"/>
      <c r="R112" s="255"/>
      <c r="S112" s="159"/>
      <c r="T112" s="160"/>
      <c r="U112" s="170"/>
    </row>
    <row r="113" spans="1:21" ht="15.75" hidden="1" outlineLevel="2">
      <c r="A113" s="162"/>
      <c r="B113" s="152"/>
      <c r="C113" s="151" t="s">
        <v>507</v>
      </c>
      <c r="D113" s="339"/>
      <c r="E113" s="164"/>
      <c r="F113" s="165"/>
      <c r="G113" s="172"/>
      <c r="H113" s="164"/>
      <c r="I113" s="164"/>
      <c r="J113" s="219"/>
      <c r="K113" s="217"/>
      <c r="L113" s="167"/>
      <c r="M113" s="202"/>
      <c r="N113" s="251"/>
      <c r="O113" s="203"/>
      <c r="P113" s="251"/>
      <c r="Q113" s="201"/>
      <c r="R113" s="523"/>
      <c r="S113" s="159"/>
      <c r="T113" s="160"/>
      <c r="U113" s="170"/>
    </row>
    <row r="114" spans="1:21" ht="15.75" hidden="1" outlineLevel="2">
      <c r="A114" s="162"/>
      <c r="B114" s="152"/>
      <c r="C114" s="174" t="s">
        <v>496</v>
      </c>
      <c r="D114" s="340"/>
      <c r="E114" s="164"/>
      <c r="F114" s="165"/>
      <c r="G114" s="172"/>
      <c r="H114" s="164"/>
      <c r="I114" s="164"/>
      <c r="J114" s="219"/>
      <c r="K114" s="217"/>
      <c r="L114" s="167"/>
      <c r="M114" s="202"/>
      <c r="N114" s="251"/>
      <c r="O114" s="203"/>
      <c r="P114" s="251"/>
      <c r="Q114" s="201"/>
      <c r="R114" s="523"/>
      <c r="S114" s="159"/>
      <c r="T114" s="160"/>
      <c r="U114" s="170"/>
    </row>
    <row r="115" spans="1:21" ht="15.75" hidden="1" outlineLevel="2">
      <c r="A115" s="162"/>
      <c r="B115" s="152"/>
      <c r="C115" s="174" t="s">
        <v>497</v>
      </c>
      <c r="D115" s="340"/>
      <c r="E115" s="164"/>
      <c r="F115" s="165"/>
      <c r="G115" s="172"/>
      <c r="H115" s="164"/>
      <c r="I115" s="164"/>
      <c r="J115" s="219"/>
      <c r="K115" s="217"/>
      <c r="L115" s="167"/>
      <c r="M115" s="202"/>
      <c r="N115" s="251"/>
      <c r="O115" s="203"/>
      <c r="P115" s="251"/>
      <c r="Q115" s="201"/>
      <c r="R115" s="523"/>
      <c r="S115" s="159"/>
      <c r="T115" s="160"/>
      <c r="U115" s="170"/>
    </row>
    <row r="116" spans="1:21" ht="15.75" hidden="1" outlineLevel="2">
      <c r="A116" s="162"/>
      <c r="B116" s="152"/>
      <c r="C116" s="174" t="s">
        <v>499</v>
      </c>
      <c r="D116" s="340"/>
      <c r="E116" s="164"/>
      <c r="F116" s="165"/>
      <c r="G116" s="172"/>
      <c r="H116" s="164"/>
      <c r="I116" s="164"/>
      <c r="J116" s="219"/>
      <c r="K116" s="217"/>
      <c r="L116" s="167"/>
      <c r="M116" s="202"/>
      <c r="N116" s="251"/>
      <c r="O116" s="203"/>
      <c r="P116" s="251"/>
      <c r="Q116" s="201"/>
      <c r="R116" s="523"/>
      <c r="S116" s="159"/>
      <c r="T116" s="160"/>
      <c r="U116" s="170"/>
    </row>
    <row r="117" spans="1:21" ht="15.75" hidden="1" outlineLevel="2">
      <c r="A117" s="162"/>
      <c r="B117" s="152"/>
      <c r="C117" s="174" t="s">
        <v>508</v>
      </c>
      <c r="D117" s="340"/>
      <c r="E117" s="164"/>
      <c r="F117" s="165"/>
      <c r="G117" s="172">
        <f>CIP!$AS$34</f>
        <v>0</v>
      </c>
      <c r="H117" s="164"/>
      <c r="I117" s="164"/>
      <c r="J117" s="219"/>
      <c r="K117" s="219">
        <f>CIP!$AT$34</f>
        <v>642734.99999999988</v>
      </c>
      <c r="L117" s="167">
        <f>SUM(G117:K117)</f>
        <v>642734.99999999988</v>
      </c>
      <c r="M117" s="203">
        <v>17500000</v>
      </c>
      <c r="N117" s="251">
        <f>M117*1.23</f>
        <v>21525000</v>
      </c>
      <c r="O117" s="203"/>
      <c r="P117" s="251"/>
      <c r="Q117" s="201"/>
      <c r="R117" s="523"/>
      <c r="S117" s="159">
        <f>SUM(L117,N117,P117,R117)</f>
        <v>22167735</v>
      </c>
      <c r="T117" s="160"/>
      <c r="U117" s="170" t="s">
        <v>1295</v>
      </c>
    </row>
    <row r="118" spans="1:21" ht="15.75" hidden="1" outlineLevel="2">
      <c r="A118" s="162"/>
      <c r="B118" s="152"/>
      <c r="C118" s="198" t="s">
        <v>518</v>
      </c>
      <c r="D118" s="342"/>
      <c r="E118" s="164"/>
      <c r="F118" s="165"/>
      <c r="G118" s="172"/>
      <c r="H118" s="164"/>
      <c r="I118" s="164"/>
      <c r="J118" s="219"/>
      <c r="K118" s="217"/>
      <c r="L118" s="167"/>
      <c r="M118" s="202"/>
      <c r="N118" s="251"/>
      <c r="O118" s="203"/>
      <c r="P118" s="251"/>
      <c r="Q118" s="201"/>
      <c r="R118" s="523"/>
      <c r="S118" s="159"/>
      <c r="T118" s="160"/>
      <c r="U118" s="170"/>
    </row>
    <row r="119" spans="1:21" s="135" customFormat="1" ht="15.75" hidden="1" outlineLevel="1" collapsed="1">
      <c r="A119" s="229"/>
      <c r="B119" s="289"/>
      <c r="C119" s="151" t="s">
        <v>516</v>
      </c>
      <c r="D119" s="339"/>
      <c r="E119" s="157">
        <v>30000000</v>
      </c>
      <c r="F119" s="248"/>
      <c r="G119" s="249" t="e">
        <f>SUM(G92:G118)</f>
        <v>#REF!</v>
      </c>
      <c r="H119" s="244"/>
      <c r="I119" s="244"/>
      <c r="J119" s="251"/>
      <c r="K119" s="252">
        <f>SUM(K99:K118)</f>
        <v>642734.99999999988</v>
      </c>
      <c r="L119" s="226" t="e">
        <f>SUM(L92:L117)</f>
        <v>#REF!</v>
      </c>
      <c r="M119" s="204">
        <f>SUM(M97:M118)</f>
        <v>17500000</v>
      </c>
      <c r="N119" s="251">
        <f>SUM(N97:N118)</f>
        <v>21525000</v>
      </c>
      <c r="O119" s="203"/>
      <c r="P119" s="251"/>
      <c r="Q119" s="201"/>
      <c r="R119" s="523"/>
      <c r="S119" s="159" t="e">
        <f>SUM(L119,N119,P119,R119)</f>
        <v>#REF!</v>
      </c>
      <c r="T119" s="391" t="s">
        <v>360</v>
      </c>
      <c r="U119" s="170"/>
    </row>
    <row r="120" spans="1:21" hidden="1" outlineLevel="2">
      <c r="A120" s="162"/>
      <c r="B120" s="151" t="s">
        <v>519</v>
      </c>
      <c r="C120" s="171"/>
      <c r="D120" s="345"/>
      <c r="E120" s="164"/>
      <c r="F120" s="165"/>
      <c r="G120" s="172"/>
      <c r="H120" s="164"/>
      <c r="I120" s="164"/>
      <c r="J120" s="219"/>
      <c r="K120" s="217"/>
      <c r="L120" s="167"/>
      <c r="M120" s="203"/>
      <c r="N120" s="251"/>
      <c r="O120" s="203"/>
      <c r="P120" s="251"/>
      <c r="Q120" s="201"/>
      <c r="R120" s="523"/>
      <c r="S120" s="159"/>
      <c r="T120" s="160"/>
      <c r="U120" s="170"/>
    </row>
    <row r="121" spans="1:21" hidden="1" outlineLevel="2">
      <c r="A121" s="162"/>
      <c r="B121" s="171"/>
      <c r="C121" s="151" t="s">
        <v>503</v>
      </c>
      <c r="D121" s="339"/>
      <c r="E121" s="164"/>
      <c r="F121" s="165"/>
      <c r="G121" s="172"/>
      <c r="H121" s="164"/>
      <c r="I121" s="164"/>
      <c r="J121" s="219"/>
      <c r="K121" s="217"/>
      <c r="L121" s="167"/>
      <c r="M121" s="202"/>
      <c r="N121" s="251"/>
      <c r="O121" s="203"/>
      <c r="P121" s="251"/>
      <c r="Q121" s="201"/>
      <c r="R121" s="523"/>
      <c r="S121" s="159"/>
      <c r="T121" s="160"/>
      <c r="U121" s="170"/>
    </row>
    <row r="122" spans="1:21" hidden="1" outlineLevel="2">
      <c r="A122" s="162"/>
      <c r="B122" s="171"/>
      <c r="C122" s="174" t="s">
        <v>520</v>
      </c>
      <c r="D122" s="340"/>
      <c r="E122" s="164"/>
      <c r="F122" s="165"/>
      <c r="G122" s="172"/>
      <c r="H122" s="164"/>
      <c r="I122" s="164"/>
      <c r="J122" s="219"/>
      <c r="K122" s="217"/>
      <c r="L122" s="167"/>
      <c r="M122" s="202"/>
      <c r="N122" s="251"/>
      <c r="O122" s="203"/>
      <c r="P122" s="251"/>
      <c r="Q122" s="201"/>
      <c r="R122" s="523"/>
      <c r="S122" s="159"/>
      <c r="T122" s="160"/>
      <c r="U122" s="170"/>
    </row>
    <row r="123" spans="1:21" hidden="1" outlineLevel="2">
      <c r="A123" s="162"/>
      <c r="B123" s="171"/>
      <c r="C123" s="174" t="s">
        <v>478</v>
      </c>
      <c r="D123" s="340"/>
      <c r="E123" s="164"/>
      <c r="F123" s="165"/>
      <c r="G123" s="172"/>
      <c r="H123" s="164"/>
      <c r="I123" s="164"/>
      <c r="J123" s="219"/>
      <c r="K123" s="217"/>
      <c r="L123" s="167"/>
      <c r="M123" s="202"/>
      <c r="N123" s="251"/>
      <c r="O123" s="203"/>
      <c r="P123" s="251"/>
      <c r="Q123" s="201"/>
      <c r="R123" s="523"/>
      <c r="S123" s="159"/>
      <c r="T123" s="160"/>
      <c r="U123" s="170"/>
    </row>
    <row r="124" spans="1:21" hidden="1" outlineLevel="2">
      <c r="A124" s="162"/>
      <c r="B124" s="171"/>
      <c r="C124" s="174" t="s">
        <v>479</v>
      </c>
      <c r="D124" s="340"/>
      <c r="E124" s="164"/>
      <c r="F124" s="165"/>
      <c r="G124" s="172"/>
      <c r="H124" s="164"/>
      <c r="I124" s="164"/>
      <c r="J124" s="219"/>
      <c r="K124" s="217"/>
      <c r="L124" s="220"/>
      <c r="M124" s="204"/>
      <c r="N124" s="251"/>
      <c r="O124" s="203"/>
      <c r="P124" s="251"/>
      <c r="Q124" s="201"/>
      <c r="R124" s="523"/>
      <c r="S124" s="159"/>
      <c r="T124" s="160"/>
      <c r="U124" s="170"/>
    </row>
    <row r="125" spans="1:21" hidden="1" outlineLevel="2">
      <c r="A125" s="162"/>
      <c r="B125" s="171"/>
      <c r="C125" s="174" t="s">
        <v>480</v>
      </c>
      <c r="D125" s="340"/>
      <c r="E125" s="164"/>
      <c r="F125" s="165"/>
      <c r="G125" s="172"/>
      <c r="H125" s="164"/>
      <c r="I125" s="164"/>
      <c r="J125" s="219"/>
      <c r="K125" s="217"/>
      <c r="L125" s="167"/>
      <c r="M125" s="202"/>
      <c r="N125" s="251"/>
      <c r="O125" s="203"/>
      <c r="P125" s="251"/>
      <c r="Q125" s="201"/>
      <c r="R125" s="523"/>
      <c r="S125" s="159"/>
      <c r="T125" s="160"/>
      <c r="U125" s="170"/>
    </row>
    <row r="126" spans="1:21" hidden="1" outlineLevel="2">
      <c r="A126" s="162"/>
      <c r="B126" s="171"/>
      <c r="C126" s="174" t="s">
        <v>512</v>
      </c>
      <c r="D126" s="340"/>
      <c r="E126" s="164"/>
      <c r="F126" s="165"/>
      <c r="G126" s="205"/>
      <c r="H126" s="164"/>
      <c r="I126" s="164"/>
      <c r="J126" s="219"/>
      <c r="K126" s="217"/>
      <c r="L126" s="167"/>
      <c r="M126" s="202"/>
      <c r="N126" s="251"/>
      <c r="O126" s="203"/>
      <c r="P126" s="251"/>
      <c r="Q126" s="201"/>
      <c r="R126" s="523"/>
      <c r="S126" s="159"/>
      <c r="T126" s="160"/>
      <c r="U126" s="170" t="s">
        <v>999</v>
      </c>
    </row>
    <row r="127" spans="1:21" hidden="1" outlineLevel="2">
      <c r="A127" s="162"/>
      <c r="B127" s="171"/>
      <c r="C127" s="151" t="s">
        <v>504</v>
      </c>
      <c r="D127" s="339"/>
      <c r="E127" s="164"/>
      <c r="F127" s="165"/>
      <c r="G127" s="172"/>
      <c r="H127" s="164"/>
      <c r="I127" s="164"/>
      <c r="J127" s="219"/>
      <c r="K127" s="217"/>
      <c r="L127" s="167"/>
      <c r="M127" s="202"/>
      <c r="N127" s="251"/>
      <c r="O127" s="203"/>
      <c r="P127" s="251"/>
      <c r="Q127" s="201"/>
      <c r="R127" s="523"/>
      <c r="S127" s="159"/>
      <c r="T127" s="160"/>
      <c r="U127" s="170"/>
    </row>
    <row r="128" spans="1:21" hidden="1" outlineLevel="2">
      <c r="A128" s="162"/>
      <c r="B128" s="171"/>
      <c r="C128" s="174" t="s">
        <v>483</v>
      </c>
      <c r="D128" s="340"/>
      <c r="E128" s="164"/>
      <c r="F128" s="165"/>
      <c r="G128" s="172"/>
      <c r="H128" s="164"/>
      <c r="I128" s="164"/>
      <c r="J128" s="219"/>
      <c r="K128" s="217"/>
      <c r="L128" s="167"/>
      <c r="M128" s="202"/>
      <c r="N128" s="251"/>
      <c r="O128" s="203"/>
      <c r="P128" s="251"/>
      <c r="Q128" s="201"/>
      <c r="R128" s="523"/>
      <c r="S128" s="159"/>
      <c r="T128" s="160"/>
      <c r="U128" s="170"/>
    </row>
    <row r="129" spans="1:21" hidden="1" outlineLevel="2">
      <c r="A129" s="162"/>
      <c r="B129" s="171"/>
      <c r="C129" s="174" t="s">
        <v>484</v>
      </c>
      <c r="D129" s="340"/>
      <c r="E129" s="164"/>
      <c r="F129" s="165"/>
      <c r="G129" s="172"/>
      <c r="H129" s="164"/>
      <c r="I129" s="164"/>
      <c r="J129" s="219"/>
      <c r="K129" s="217"/>
      <c r="L129" s="167"/>
      <c r="M129" s="202"/>
      <c r="N129" s="251"/>
      <c r="O129" s="203"/>
      <c r="P129" s="251"/>
      <c r="Q129" s="201"/>
      <c r="R129" s="523"/>
      <c r="S129" s="159"/>
      <c r="T129" s="160"/>
      <c r="U129" s="170"/>
    </row>
    <row r="130" spans="1:21" hidden="1" outlineLevel="2">
      <c r="A130" s="162"/>
      <c r="B130" s="171"/>
      <c r="C130" s="174" t="s">
        <v>479</v>
      </c>
      <c r="D130" s="340"/>
      <c r="E130" s="164"/>
      <c r="F130" s="165"/>
      <c r="G130" s="172"/>
      <c r="H130" s="164"/>
      <c r="I130" s="164"/>
      <c r="J130" s="219"/>
      <c r="K130" s="217"/>
      <c r="L130" s="167"/>
      <c r="M130" s="202"/>
      <c r="N130" s="251"/>
      <c r="O130" s="203"/>
      <c r="P130" s="251"/>
      <c r="Q130" s="201"/>
      <c r="R130" s="523"/>
      <c r="S130" s="159"/>
      <c r="T130" s="160"/>
      <c r="U130" s="170"/>
    </row>
    <row r="131" spans="1:21" hidden="1" outlineLevel="2">
      <c r="A131" s="162"/>
      <c r="B131" s="171"/>
      <c r="C131" s="174" t="s">
        <v>485</v>
      </c>
      <c r="D131" s="340"/>
      <c r="E131" s="164"/>
      <c r="F131" s="165"/>
      <c r="G131" s="172"/>
      <c r="H131" s="164"/>
      <c r="I131" s="164"/>
      <c r="J131" s="219"/>
      <c r="K131" s="217"/>
      <c r="L131" s="167"/>
      <c r="M131" s="202"/>
      <c r="N131" s="251"/>
      <c r="O131" s="203"/>
      <c r="P131" s="251"/>
      <c r="Q131" s="201"/>
      <c r="R131" s="523"/>
      <c r="S131" s="159"/>
      <c r="T131" s="160"/>
      <c r="U131" s="170"/>
    </row>
    <row r="132" spans="1:21" hidden="1" outlineLevel="2">
      <c r="A132" s="162"/>
      <c r="B132" s="171"/>
      <c r="C132" s="151" t="s">
        <v>505</v>
      </c>
      <c r="D132" s="339"/>
      <c r="E132" s="164"/>
      <c r="F132" s="165"/>
      <c r="G132" s="172"/>
      <c r="H132" s="164"/>
      <c r="I132" s="164"/>
      <c r="J132" s="219"/>
      <c r="K132" s="217"/>
      <c r="L132" s="167"/>
      <c r="M132" s="202"/>
      <c r="N132" s="251"/>
      <c r="O132" s="203"/>
      <c r="P132" s="251"/>
      <c r="Q132" s="201"/>
      <c r="R132" s="523"/>
      <c r="S132" s="159"/>
      <c r="T132" s="160"/>
      <c r="U132" s="170"/>
    </row>
    <row r="133" spans="1:21" hidden="1" outlineLevel="2">
      <c r="A133" s="162"/>
      <c r="B133" s="171"/>
      <c r="C133" s="174" t="s">
        <v>487</v>
      </c>
      <c r="D133" s="340"/>
      <c r="E133" s="164"/>
      <c r="F133" s="165"/>
      <c r="G133" s="172"/>
      <c r="H133" s="164"/>
      <c r="I133" s="164"/>
      <c r="J133" s="219"/>
      <c r="K133" s="217"/>
      <c r="L133" s="167"/>
      <c r="M133" s="202"/>
      <c r="N133" s="251"/>
      <c r="O133" s="203"/>
      <c r="P133" s="251"/>
      <c r="Q133" s="201"/>
      <c r="R133" s="523"/>
      <c r="S133" s="159"/>
      <c r="T133" s="160"/>
      <c r="U133" s="170"/>
    </row>
    <row r="134" spans="1:21" hidden="1" outlineLevel="2">
      <c r="A134" s="162"/>
      <c r="B134" s="171"/>
      <c r="C134" s="174" t="s">
        <v>479</v>
      </c>
      <c r="D134" s="340"/>
      <c r="E134" s="164"/>
      <c r="F134" s="165"/>
      <c r="G134" s="172"/>
      <c r="H134" s="164"/>
      <c r="I134" s="164"/>
      <c r="J134" s="219"/>
      <c r="K134" s="217"/>
      <c r="L134" s="167"/>
      <c r="M134" s="202"/>
      <c r="N134" s="251"/>
      <c r="O134" s="203"/>
      <c r="P134" s="251"/>
      <c r="Q134" s="201"/>
      <c r="R134" s="523"/>
      <c r="S134" s="159"/>
      <c r="T134" s="160"/>
      <c r="U134" s="170"/>
    </row>
    <row r="135" spans="1:21" hidden="1" outlineLevel="2">
      <c r="A135" s="162"/>
      <c r="B135" s="171"/>
      <c r="C135" s="174" t="s">
        <v>488</v>
      </c>
      <c r="D135" s="340"/>
      <c r="E135" s="164"/>
      <c r="F135" s="165"/>
      <c r="G135" s="172"/>
      <c r="H135" s="164"/>
      <c r="I135" s="164"/>
      <c r="J135" s="219"/>
      <c r="K135" s="217"/>
      <c r="L135" s="167"/>
      <c r="M135" s="202"/>
      <c r="N135" s="251"/>
      <c r="O135" s="203"/>
      <c r="P135" s="251"/>
      <c r="Q135" s="201"/>
      <c r="R135" s="523"/>
      <c r="S135" s="159"/>
      <c r="T135" s="160"/>
      <c r="U135" s="170"/>
    </row>
    <row r="136" spans="1:21" hidden="1" outlineLevel="2">
      <c r="A136" s="162"/>
      <c r="B136" s="171"/>
      <c r="C136" s="174" t="s">
        <v>489</v>
      </c>
      <c r="D136" s="340"/>
      <c r="E136" s="164"/>
      <c r="F136" s="165"/>
      <c r="G136" s="172"/>
      <c r="H136" s="164"/>
      <c r="I136" s="164"/>
      <c r="J136" s="219"/>
      <c r="K136" s="217"/>
      <c r="L136" s="167"/>
      <c r="M136" s="202"/>
      <c r="N136" s="251"/>
      <c r="O136" s="203"/>
      <c r="P136" s="251"/>
      <c r="Q136" s="201"/>
      <c r="R136" s="523"/>
      <c r="S136" s="159"/>
      <c r="T136" s="160"/>
      <c r="U136" s="170"/>
    </row>
    <row r="137" spans="1:21" hidden="1" outlineLevel="2">
      <c r="A137" s="162"/>
      <c r="B137" s="171"/>
      <c r="C137" s="151" t="s">
        <v>506</v>
      </c>
      <c r="D137" s="339"/>
      <c r="E137" s="164"/>
      <c r="F137" s="165"/>
      <c r="G137" s="172"/>
      <c r="H137" s="164"/>
      <c r="I137" s="164"/>
      <c r="J137" s="219"/>
      <c r="K137" s="217"/>
      <c r="L137" s="167"/>
      <c r="M137" s="202"/>
      <c r="N137" s="251"/>
      <c r="O137" s="203"/>
      <c r="P137" s="251"/>
      <c r="Q137" s="201"/>
      <c r="R137" s="523"/>
      <c r="S137" s="159"/>
      <c r="T137" s="160"/>
      <c r="U137" s="170"/>
    </row>
    <row r="138" spans="1:21" hidden="1" outlineLevel="2">
      <c r="A138" s="162"/>
      <c r="B138" s="171"/>
      <c r="C138" s="174" t="s">
        <v>491</v>
      </c>
      <c r="D138" s="340"/>
      <c r="E138" s="164"/>
      <c r="F138" s="165"/>
      <c r="G138" s="206"/>
      <c r="H138" s="203"/>
      <c r="I138" s="203"/>
      <c r="J138" s="203"/>
      <c r="K138" s="217"/>
      <c r="L138" s="167"/>
      <c r="M138" s="205">
        <v>250000</v>
      </c>
      <c r="N138" s="251">
        <f>M138*1.23</f>
        <v>307500</v>
      </c>
      <c r="O138" s="202"/>
      <c r="P138" s="251"/>
      <c r="Q138" s="201"/>
      <c r="R138" s="523"/>
      <c r="S138" s="159">
        <f>SUM(L138,N138,P138,R138)</f>
        <v>307500</v>
      </c>
      <c r="T138" s="160"/>
      <c r="U138" s="170"/>
    </row>
    <row r="139" spans="1:21" hidden="1" outlineLevel="2">
      <c r="A139" s="162"/>
      <c r="B139" s="171"/>
      <c r="C139" s="174" t="s">
        <v>492</v>
      </c>
      <c r="D139" s="340"/>
      <c r="E139" s="164"/>
      <c r="F139" s="165"/>
      <c r="G139" s="172"/>
      <c r="H139" s="164"/>
      <c r="I139" s="164"/>
      <c r="J139" s="219"/>
      <c r="K139" s="217"/>
      <c r="L139" s="167"/>
      <c r="M139" s="202"/>
      <c r="N139" s="251"/>
      <c r="O139" s="203"/>
      <c r="P139" s="251"/>
      <c r="Q139" s="201"/>
      <c r="R139" s="523"/>
      <c r="S139" s="159"/>
      <c r="T139" s="160"/>
      <c r="U139" s="170"/>
    </row>
    <row r="140" spans="1:21" hidden="1" outlineLevel="2">
      <c r="A140" s="162"/>
      <c r="B140" s="171"/>
      <c r="C140" s="174" t="s">
        <v>493</v>
      </c>
      <c r="D140" s="340"/>
      <c r="E140" s="164"/>
      <c r="F140" s="165"/>
      <c r="G140" s="172"/>
      <c r="H140" s="164"/>
      <c r="I140" s="164"/>
      <c r="J140" s="219"/>
      <c r="K140" s="217"/>
      <c r="L140" s="167"/>
      <c r="M140" s="202"/>
      <c r="N140" s="251"/>
      <c r="O140" s="203"/>
      <c r="P140" s="251"/>
      <c r="Q140" s="201"/>
      <c r="R140" s="523"/>
      <c r="S140" s="159"/>
      <c r="T140" s="160"/>
      <c r="U140" s="170"/>
    </row>
    <row r="141" spans="1:21" hidden="1" outlineLevel="2">
      <c r="A141" s="162"/>
      <c r="B141" s="171"/>
      <c r="C141" s="174" t="s">
        <v>494</v>
      </c>
      <c r="D141" s="340"/>
      <c r="E141" s="164"/>
      <c r="F141" s="165"/>
      <c r="G141" s="205">
        <f>CIP!$AR$24</f>
        <v>300000</v>
      </c>
      <c r="H141" s="164"/>
      <c r="I141" s="203"/>
      <c r="J141" s="203"/>
      <c r="K141" s="217"/>
      <c r="L141" s="167">
        <v>200000</v>
      </c>
      <c r="M141" s="202"/>
      <c r="N141" s="251"/>
      <c r="O141" s="203"/>
      <c r="P141" s="251"/>
      <c r="Q141" s="201"/>
      <c r="R141" s="523"/>
      <c r="S141" s="159">
        <f>SUM(L141,N141,P141,R141)</f>
        <v>200000</v>
      </c>
      <c r="T141" s="160"/>
      <c r="U141" s="161" t="s">
        <v>1000</v>
      </c>
    </row>
    <row r="142" spans="1:21" hidden="1" outlineLevel="2">
      <c r="A142" s="162"/>
      <c r="B142" s="171"/>
      <c r="C142" s="151" t="s">
        <v>507</v>
      </c>
      <c r="D142" s="339"/>
      <c r="E142" s="164"/>
      <c r="F142" s="165"/>
      <c r="G142" s="172"/>
      <c r="H142" s="164"/>
      <c r="I142" s="164"/>
      <c r="J142" s="219"/>
      <c r="K142" s="217"/>
      <c r="L142" s="167"/>
      <c r="M142" s="202"/>
      <c r="N142" s="251"/>
      <c r="O142" s="203"/>
      <c r="P142" s="251"/>
      <c r="Q142" s="201"/>
      <c r="R142" s="523"/>
      <c r="S142" s="159"/>
      <c r="T142" s="160"/>
      <c r="U142" s="170"/>
    </row>
    <row r="143" spans="1:21" hidden="1" outlineLevel="2">
      <c r="A143" s="162"/>
      <c r="B143" s="171"/>
      <c r="C143" s="174" t="s">
        <v>496</v>
      </c>
      <c r="D143" s="340"/>
      <c r="E143" s="164"/>
      <c r="F143" s="165"/>
      <c r="G143" s="172"/>
      <c r="H143" s="164"/>
      <c r="I143" s="164"/>
      <c r="J143" s="219"/>
      <c r="K143" s="217"/>
      <c r="L143" s="167"/>
      <c r="M143" s="202"/>
      <c r="N143" s="251"/>
      <c r="O143" s="203"/>
      <c r="P143" s="251"/>
      <c r="Q143" s="201"/>
      <c r="R143" s="523"/>
      <c r="S143" s="159"/>
      <c r="T143" s="160"/>
      <c r="U143" s="170"/>
    </row>
    <row r="144" spans="1:21" hidden="1" outlineLevel="2">
      <c r="A144" s="162"/>
      <c r="B144" s="171"/>
      <c r="C144" s="174" t="s">
        <v>497</v>
      </c>
      <c r="D144" s="340"/>
      <c r="E144" s="164"/>
      <c r="F144" s="165"/>
      <c r="G144" s="172"/>
      <c r="H144" s="164"/>
      <c r="I144" s="164"/>
      <c r="J144" s="219"/>
      <c r="K144" s="217"/>
      <c r="L144" s="167"/>
      <c r="M144" s="202"/>
      <c r="N144" s="251"/>
      <c r="O144" s="203"/>
      <c r="P144" s="251"/>
      <c r="Q144" s="201"/>
      <c r="R144" s="523"/>
      <c r="S144" s="159"/>
      <c r="T144" s="160"/>
      <c r="U144" s="170"/>
    </row>
    <row r="145" spans="1:21" hidden="1" outlineLevel="2">
      <c r="A145" s="162"/>
      <c r="B145" s="171"/>
      <c r="C145" s="174" t="s">
        <v>499</v>
      </c>
      <c r="D145" s="340"/>
      <c r="E145" s="164"/>
      <c r="F145" s="165"/>
      <c r="G145" s="172"/>
      <c r="H145" s="164"/>
      <c r="I145" s="164"/>
      <c r="J145" s="219"/>
      <c r="K145" s="217"/>
      <c r="L145" s="167"/>
      <c r="M145" s="202"/>
      <c r="N145" s="251"/>
      <c r="O145" s="203"/>
      <c r="P145" s="251"/>
      <c r="Q145" s="201"/>
      <c r="R145" s="523"/>
      <c r="S145" s="159"/>
      <c r="T145" s="160"/>
      <c r="U145" s="170"/>
    </row>
    <row r="146" spans="1:21" hidden="1" outlineLevel="2">
      <c r="A146" s="162"/>
      <c r="B146" s="171"/>
      <c r="C146" s="174" t="s">
        <v>508</v>
      </c>
      <c r="D146" s="340"/>
      <c r="E146" s="164"/>
      <c r="F146" s="165"/>
      <c r="G146" s="172"/>
      <c r="H146" s="164"/>
      <c r="I146" s="164"/>
      <c r="J146" s="219"/>
      <c r="K146" s="217"/>
      <c r="L146" s="167"/>
      <c r="M146" s="203">
        <v>30750000</v>
      </c>
      <c r="N146" s="251">
        <f>M146*1.23</f>
        <v>37822500</v>
      </c>
      <c r="O146" s="203"/>
      <c r="P146" s="251"/>
      <c r="Q146" s="201"/>
      <c r="R146" s="523"/>
      <c r="S146" s="159">
        <f>SUM(L146,N146,P146,R146)</f>
        <v>37822500</v>
      </c>
      <c r="T146" s="160"/>
      <c r="U146" s="161" t="s">
        <v>521</v>
      </c>
    </row>
    <row r="147" spans="1:21" s="135" customFormat="1" hidden="1" outlineLevel="1" collapsed="1">
      <c r="A147" s="229"/>
      <c r="B147" s="151"/>
      <c r="C147" s="151" t="s">
        <v>519</v>
      </c>
      <c r="D147" s="339"/>
      <c r="E147" s="244"/>
      <c r="F147" s="248"/>
      <c r="G147" s="249">
        <f>SUM(G123:G146)</f>
        <v>300000</v>
      </c>
      <c r="H147" s="244"/>
      <c r="I147" s="244"/>
      <c r="J147" s="251"/>
      <c r="K147" s="252"/>
      <c r="L147" s="226">
        <f>SUM(L122:L146)</f>
        <v>200000</v>
      </c>
      <c r="M147" s="202">
        <f>SUM(M121:M146)</f>
        <v>31000000</v>
      </c>
      <c r="N147" s="251">
        <f>M147*1.23</f>
        <v>38130000</v>
      </c>
      <c r="O147" s="203"/>
      <c r="P147" s="251"/>
      <c r="Q147" s="201"/>
      <c r="R147" s="523"/>
      <c r="S147" s="159">
        <f>SUM(L147,N147,P147,R147)</f>
        <v>38330000</v>
      </c>
      <c r="T147" s="391" t="s">
        <v>360</v>
      </c>
      <c r="U147" s="170"/>
    </row>
    <row r="148" spans="1:21" hidden="1" outlineLevel="2">
      <c r="A148" s="162"/>
      <c r="B148" s="151" t="s">
        <v>522</v>
      </c>
      <c r="C148" s="171"/>
      <c r="D148" s="345"/>
      <c r="E148" s="164"/>
      <c r="F148" s="165"/>
      <c r="G148" s="172"/>
      <c r="H148" s="164"/>
      <c r="I148" s="164"/>
      <c r="J148" s="219"/>
      <c r="K148" s="217"/>
      <c r="L148" s="167"/>
      <c r="M148" s="202"/>
      <c r="N148" s="251"/>
      <c r="O148" s="203"/>
      <c r="P148" s="251"/>
      <c r="Q148" s="201"/>
      <c r="R148" s="523"/>
      <c r="S148" s="159"/>
      <c r="T148" s="391"/>
      <c r="U148" s="170"/>
    </row>
    <row r="149" spans="1:21" hidden="1" outlineLevel="2">
      <c r="A149" s="162"/>
      <c r="B149" s="171"/>
      <c r="C149" s="151" t="s">
        <v>503</v>
      </c>
      <c r="D149" s="339"/>
      <c r="E149" s="164"/>
      <c r="F149" s="165"/>
      <c r="G149" s="172"/>
      <c r="H149" s="164"/>
      <c r="I149" s="164"/>
      <c r="J149" s="219"/>
      <c r="K149" s="217"/>
      <c r="L149" s="167"/>
      <c r="M149" s="202"/>
      <c r="N149" s="251"/>
      <c r="O149" s="203"/>
      <c r="P149" s="251"/>
      <c r="Q149" s="201"/>
      <c r="R149" s="523"/>
      <c r="S149" s="159"/>
      <c r="T149" s="391"/>
      <c r="U149" s="170"/>
    </row>
    <row r="150" spans="1:21" hidden="1" outlineLevel="2">
      <c r="A150" s="162"/>
      <c r="B150" s="171"/>
      <c r="C150" s="174" t="s">
        <v>523</v>
      </c>
      <c r="D150" s="340"/>
      <c r="E150" s="164"/>
      <c r="F150" s="165"/>
      <c r="G150" s="172"/>
      <c r="H150" s="164"/>
      <c r="I150" s="164"/>
      <c r="J150" s="219"/>
      <c r="K150" s="217"/>
      <c r="L150" s="167"/>
      <c r="M150" s="202"/>
      <c r="N150" s="251"/>
      <c r="O150" s="203"/>
      <c r="P150" s="251"/>
      <c r="Q150" s="201"/>
      <c r="R150" s="523"/>
      <c r="S150" s="159"/>
      <c r="T150" s="391"/>
      <c r="U150" s="170"/>
    </row>
    <row r="151" spans="1:21" hidden="1" outlineLevel="2">
      <c r="A151" s="162"/>
      <c r="B151" s="171"/>
      <c r="C151" s="174" t="s">
        <v>478</v>
      </c>
      <c r="D151" s="340"/>
      <c r="E151" s="164"/>
      <c r="F151" s="165"/>
      <c r="G151" s="172"/>
      <c r="H151" s="164"/>
      <c r="I151" s="164"/>
      <c r="J151" s="219"/>
      <c r="K151" s="217"/>
      <c r="L151" s="167"/>
      <c r="M151" s="202"/>
      <c r="N151" s="251"/>
      <c r="O151" s="203"/>
      <c r="P151" s="251"/>
      <c r="Q151" s="201"/>
      <c r="R151" s="523"/>
      <c r="S151" s="159"/>
      <c r="T151" s="391"/>
      <c r="U151" s="170"/>
    </row>
    <row r="152" spans="1:21" s="210" customFormat="1" hidden="1" outlineLevel="2">
      <c r="A152" s="207"/>
      <c r="B152" s="208"/>
      <c r="C152" s="366" t="s">
        <v>479</v>
      </c>
      <c r="D152" s="389"/>
      <c r="E152" s="304"/>
      <c r="F152" s="305"/>
      <c r="G152" s="209"/>
      <c r="H152" s="304"/>
      <c r="I152" s="304"/>
      <c r="J152" s="241"/>
      <c r="K152" s="524"/>
      <c r="L152" s="220"/>
      <c r="M152" s="209">
        <v>525000</v>
      </c>
      <c r="N152" s="251">
        <f>M152*1.23</f>
        <v>645750</v>
      </c>
      <c r="O152" s="241"/>
      <c r="P152" s="251"/>
      <c r="Q152" s="524"/>
      <c r="R152" s="523"/>
      <c r="S152" s="159">
        <f>SUM(L152,N152,P152,R152)</f>
        <v>645750</v>
      </c>
      <c r="T152" s="392"/>
      <c r="U152" s="390" t="s">
        <v>993</v>
      </c>
    </row>
    <row r="153" spans="1:21" hidden="1" outlineLevel="2">
      <c r="A153" s="162"/>
      <c r="B153" s="171"/>
      <c r="C153" s="174" t="s">
        <v>480</v>
      </c>
      <c r="D153" s="340"/>
      <c r="E153" s="164"/>
      <c r="F153" s="165"/>
      <c r="G153" s="172"/>
      <c r="H153" s="164"/>
      <c r="I153" s="164"/>
      <c r="J153" s="219"/>
      <c r="K153" s="217"/>
      <c r="L153" s="167"/>
      <c r="M153" s="209"/>
      <c r="N153" s="251"/>
      <c r="O153" s="203"/>
      <c r="P153" s="251"/>
      <c r="Q153" s="201"/>
      <c r="R153" s="523"/>
      <c r="S153" s="159"/>
      <c r="T153" s="391"/>
      <c r="U153" s="170"/>
    </row>
    <row r="154" spans="1:21" hidden="1" outlineLevel="2">
      <c r="A154" s="162"/>
      <c r="B154" s="171"/>
      <c r="C154" s="174" t="s">
        <v>524</v>
      </c>
      <c r="D154" s="340"/>
      <c r="E154" s="164"/>
      <c r="F154" s="165"/>
      <c r="G154" s="197"/>
      <c r="H154" s="165"/>
      <c r="I154" s="157"/>
      <c r="J154" s="219"/>
      <c r="K154" s="217"/>
      <c r="L154" s="167"/>
      <c r="M154" s="202"/>
      <c r="N154" s="251"/>
      <c r="O154" s="203"/>
      <c r="P154" s="251"/>
      <c r="Q154" s="201"/>
      <c r="R154" s="523"/>
      <c r="S154" s="159"/>
      <c r="T154" s="391"/>
      <c r="U154" s="170" t="s">
        <v>1141</v>
      </c>
    </row>
    <row r="155" spans="1:21" hidden="1" outlineLevel="2">
      <c r="A155" s="162"/>
      <c r="B155" s="171"/>
      <c r="C155" s="151" t="s">
        <v>504</v>
      </c>
      <c r="D155" s="339"/>
      <c r="E155" s="164"/>
      <c r="F155" s="165"/>
      <c r="G155" s="172"/>
      <c r="H155" s="164"/>
      <c r="I155" s="164"/>
      <c r="J155" s="219"/>
      <c r="K155" s="217"/>
      <c r="L155" s="167"/>
      <c r="M155" s="202"/>
      <c r="N155" s="251"/>
      <c r="O155" s="203"/>
      <c r="P155" s="251"/>
      <c r="Q155" s="201"/>
      <c r="R155" s="523"/>
      <c r="S155" s="159"/>
      <c r="T155" s="391"/>
      <c r="U155" s="170"/>
    </row>
    <row r="156" spans="1:21" hidden="1" outlineLevel="2">
      <c r="A156" s="162"/>
      <c r="B156" s="171"/>
      <c r="C156" s="174" t="s">
        <v>483</v>
      </c>
      <c r="D156" s="340"/>
      <c r="E156" s="164"/>
      <c r="F156" s="165"/>
      <c r="G156" s="172"/>
      <c r="H156" s="164"/>
      <c r="I156" s="164"/>
      <c r="J156" s="203">
        <f>CIP!$AU$102</f>
        <v>0</v>
      </c>
      <c r="K156" s="221"/>
      <c r="L156" s="167">
        <f>SUM(G156:K156)</f>
        <v>0</v>
      </c>
      <c r="M156" s="202"/>
      <c r="N156" s="251"/>
      <c r="O156" s="203"/>
      <c r="P156" s="251"/>
      <c r="Q156" s="201"/>
      <c r="R156" s="523"/>
      <c r="S156" s="159">
        <f>SUM(L156,N156,P156,R156)</f>
        <v>0</v>
      </c>
      <c r="T156" s="391"/>
      <c r="U156" s="170"/>
    </row>
    <row r="157" spans="1:21" hidden="1" outlineLevel="2">
      <c r="A157" s="162"/>
      <c r="B157" s="171"/>
      <c r="C157" s="174" t="s">
        <v>484</v>
      </c>
      <c r="D157" s="340"/>
      <c r="E157" s="164"/>
      <c r="F157" s="165"/>
      <c r="G157" s="172"/>
      <c r="H157" s="164"/>
      <c r="I157" s="164"/>
      <c r="J157" s="219"/>
      <c r="K157" s="217"/>
      <c r="L157" s="167"/>
      <c r="M157" s="202"/>
      <c r="N157" s="251"/>
      <c r="O157" s="202"/>
      <c r="P157" s="251"/>
      <c r="Q157" s="201"/>
      <c r="R157" s="523"/>
      <c r="S157" s="159"/>
      <c r="T157" s="391"/>
      <c r="U157" s="170"/>
    </row>
    <row r="158" spans="1:21" hidden="1" outlineLevel="2">
      <c r="A158" s="162"/>
      <c r="B158" s="171"/>
      <c r="C158" s="174" t="s">
        <v>479</v>
      </c>
      <c r="D158" s="340"/>
      <c r="E158" s="164"/>
      <c r="F158" s="165"/>
      <c r="G158" s="172"/>
      <c r="H158" s="164"/>
      <c r="I158" s="164"/>
      <c r="J158" s="219"/>
      <c r="K158" s="217"/>
      <c r="L158" s="167"/>
      <c r="M158" s="202"/>
      <c r="N158" s="251"/>
      <c r="O158" s="203"/>
      <c r="P158" s="251"/>
      <c r="Q158" s="201"/>
      <c r="R158" s="523"/>
      <c r="S158" s="159"/>
      <c r="T158" s="391"/>
      <c r="U158" s="170"/>
    </row>
    <row r="159" spans="1:21" hidden="1" outlineLevel="2">
      <c r="A159" s="162"/>
      <c r="B159" s="171"/>
      <c r="C159" s="174" t="s">
        <v>485</v>
      </c>
      <c r="D159" s="340"/>
      <c r="E159" s="164"/>
      <c r="F159" s="165"/>
      <c r="G159" s="172"/>
      <c r="H159" s="164"/>
      <c r="I159" s="164"/>
      <c r="J159" s="219"/>
      <c r="K159" s="217"/>
      <c r="L159" s="167"/>
      <c r="M159" s="202"/>
      <c r="N159" s="251"/>
      <c r="O159" s="203"/>
      <c r="P159" s="251"/>
      <c r="Q159" s="201"/>
      <c r="R159" s="523"/>
      <c r="S159" s="159"/>
      <c r="T159" s="391"/>
      <c r="U159" s="161" t="s">
        <v>576</v>
      </c>
    </row>
    <row r="160" spans="1:21" hidden="1" outlineLevel="2">
      <c r="A160" s="162"/>
      <c r="B160" s="171"/>
      <c r="C160" s="151" t="s">
        <v>505</v>
      </c>
      <c r="D160" s="339"/>
      <c r="E160" s="164"/>
      <c r="F160" s="165"/>
      <c r="G160" s="172"/>
      <c r="H160" s="164"/>
      <c r="I160" s="164"/>
      <c r="J160" s="219"/>
      <c r="K160" s="217"/>
      <c r="L160" s="167"/>
      <c r="M160" s="202"/>
      <c r="N160" s="251"/>
      <c r="O160" s="203"/>
      <c r="P160" s="251"/>
      <c r="Q160" s="201"/>
      <c r="R160" s="523"/>
      <c r="S160" s="159"/>
      <c r="T160" s="391"/>
      <c r="U160" s="161"/>
    </row>
    <row r="161" spans="1:21" hidden="1" outlineLevel="2">
      <c r="A161" s="162"/>
      <c r="B161" s="171"/>
      <c r="C161" s="174" t="s">
        <v>487</v>
      </c>
      <c r="D161" s="340"/>
      <c r="E161" s="164"/>
      <c r="F161" s="165"/>
      <c r="G161" s="172"/>
      <c r="H161" s="164"/>
      <c r="I161" s="164"/>
      <c r="J161" s="219"/>
      <c r="K161" s="217"/>
      <c r="L161" s="167"/>
      <c r="M161" s="202"/>
      <c r="N161" s="251"/>
      <c r="O161" s="203"/>
      <c r="P161" s="251"/>
      <c r="Q161" s="201"/>
      <c r="R161" s="523"/>
      <c r="S161" s="159"/>
      <c r="T161" s="391"/>
      <c r="U161" s="161"/>
    </row>
    <row r="162" spans="1:21" hidden="1" outlineLevel="2">
      <c r="A162" s="162"/>
      <c r="B162" s="171"/>
      <c r="C162" s="174" t="s">
        <v>479</v>
      </c>
      <c r="D162" s="340"/>
      <c r="E162" s="164"/>
      <c r="F162" s="165"/>
      <c r="G162" s="172"/>
      <c r="H162" s="164">
        <f>CIP!$AS$49</f>
        <v>0</v>
      </c>
      <c r="I162" s="164"/>
      <c r="J162" s="219"/>
      <c r="K162" s="217"/>
      <c r="L162" s="167">
        <f>SUM(G162:K162)</f>
        <v>0</v>
      </c>
      <c r="M162" s="202"/>
      <c r="N162" s="251"/>
      <c r="O162" s="203"/>
      <c r="P162" s="251"/>
      <c r="Q162" s="201"/>
      <c r="R162" s="523"/>
      <c r="S162" s="159">
        <f>SUM(L162,N162,P162,R162)</f>
        <v>0</v>
      </c>
      <c r="T162" s="391"/>
      <c r="U162" s="161" t="s">
        <v>1001</v>
      </c>
    </row>
    <row r="163" spans="1:21" hidden="1" outlineLevel="2">
      <c r="A163" s="162"/>
      <c r="B163" s="171"/>
      <c r="C163" s="174" t="s">
        <v>488</v>
      </c>
      <c r="D163" s="340"/>
      <c r="E163" s="164"/>
      <c r="F163" s="165"/>
      <c r="G163" s="172"/>
      <c r="H163" s="164"/>
      <c r="I163" s="164"/>
      <c r="J163" s="439">
        <f>CIP!$AU$49</f>
        <v>96458.455124999979</v>
      </c>
      <c r="K163" s="217"/>
      <c r="L163" s="167">
        <f>SUM(G163:K163)</f>
        <v>96458.455124999979</v>
      </c>
      <c r="M163" s="202"/>
      <c r="N163" s="251"/>
      <c r="O163" s="203"/>
      <c r="P163" s="251"/>
      <c r="Q163" s="201"/>
      <c r="R163" s="523"/>
      <c r="S163" s="159">
        <f>SUM(L163,N163,P163,R163)</f>
        <v>96458.455124999979</v>
      </c>
      <c r="T163" s="391"/>
      <c r="U163" s="161"/>
    </row>
    <row r="164" spans="1:21" hidden="1" outlineLevel="2">
      <c r="A164" s="162"/>
      <c r="B164" s="171"/>
      <c r="C164" s="174" t="s">
        <v>489</v>
      </c>
      <c r="D164" s="340"/>
      <c r="E164" s="164"/>
      <c r="F164" s="165"/>
      <c r="G164" s="172"/>
      <c r="H164" s="164"/>
      <c r="I164" s="164"/>
      <c r="J164" s="219"/>
      <c r="K164" s="217"/>
      <c r="L164" s="167"/>
      <c r="M164" s="202"/>
      <c r="N164" s="251"/>
      <c r="O164" s="203"/>
      <c r="P164" s="251"/>
      <c r="Q164" s="201"/>
      <c r="R164" s="523"/>
      <c r="S164" s="159"/>
      <c r="T164" s="391"/>
      <c r="U164" s="161" t="s">
        <v>525</v>
      </c>
    </row>
    <row r="165" spans="1:21" hidden="1" outlineLevel="2">
      <c r="A165" s="162"/>
      <c r="B165" s="171"/>
      <c r="C165" s="151" t="s">
        <v>506</v>
      </c>
      <c r="D165" s="339"/>
      <c r="E165" s="164"/>
      <c r="F165" s="165"/>
      <c r="G165" s="172"/>
      <c r="H165" s="164"/>
      <c r="I165" s="164"/>
      <c r="J165" s="219"/>
      <c r="K165" s="217"/>
      <c r="L165" s="167"/>
      <c r="M165" s="202"/>
      <c r="N165" s="251"/>
      <c r="O165" s="203"/>
      <c r="P165" s="251"/>
      <c r="Q165" s="201"/>
      <c r="R165" s="523"/>
      <c r="S165" s="159"/>
      <c r="T165" s="391"/>
      <c r="U165" s="161"/>
    </row>
    <row r="166" spans="1:21" hidden="1" outlineLevel="2">
      <c r="A166" s="162"/>
      <c r="B166" s="171"/>
      <c r="C166" s="174" t="s">
        <v>491</v>
      </c>
      <c r="D166" s="340"/>
      <c r="E166" s="164"/>
      <c r="F166" s="165"/>
      <c r="G166" s="172"/>
      <c r="H166" s="164"/>
      <c r="I166" s="164"/>
      <c r="J166" s="219"/>
      <c r="K166" s="217"/>
      <c r="L166" s="167"/>
      <c r="M166" s="202"/>
      <c r="N166" s="251"/>
      <c r="O166" s="203"/>
      <c r="P166" s="251"/>
      <c r="Q166" s="201"/>
      <c r="R166" s="523"/>
      <c r="S166" s="159"/>
      <c r="T166" s="391"/>
      <c r="U166" s="161"/>
    </row>
    <row r="167" spans="1:21" hidden="1" outlineLevel="2">
      <c r="A167" s="162"/>
      <c r="B167" s="171"/>
      <c r="C167" s="174" t="s">
        <v>492</v>
      </c>
      <c r="D167" s="340"/>
      <c r="E167" s="164"/>
      <c r="F167" s="165"/>
      <c r="G167" s="172"/>
      <c r="H167" s="164"/>
      <c r="I167" s="164"/>
      <c r="J167" s="219"/>
      <c r="K167" s="217"/>
      <c r="L167" s="167"/>
      <c r="M167" s="202"/>
      <c r="N167" s="251"/>
      <c r="O167" s="203"/>
      <c r="P167" s="251"/>
      <c r="Q167" s="201"/>
      <c r="R167" s="523"/>
      <c r="S167" s="159"/>
      <c r="T167" s="391"/>
      <c r="U167" s="161"/>
    </row>
    <row r="168" spans="1:21" hidden="1" outlineLevel="2">
      <c r="A168" s="162"/>
      <c r="B168" s="171"/>
      <c r="C168" s="174" t="s">
        <v>493</v>
      </c>
      <c r="D168" s="340"/>
      <c r="E168" s="164"/>
      <c r="F168" s="165"/>
      <c r="G168" s="172"/>
      <c r="H168" s="164"/>
      <c r="I168" s="164"/>
      <c r="J168" s="219"/>
      <c r="K168" s="217"/>
      <c r="L168" s="167"/>
      <c r="M168" s="202"/>
      <c r="N168" s="251"/>
      <c r="O168" s="203"/>
      <c r="P168" s="251"/>
      <c r="Q168" s="201"/>
      <c r="R168" s="523"/>
      <c r="S168" s="159"/>
      <c r="T168" s="391"/>
      <c r="U168" s="161"/>
    </row>
    <row r="169" spans="1:21" hidden="1" outlineLevel="2">
      <c r="A169" s="162"/>
      <c r="B169" s="171"/>
      <c r="C169" s="174" t="s">
        <v>494</v>
      </c>
      <c r="D169" s="340"/>
      <c r="E169" s="164"/>
      <c r="F169" s="165"/>
      <c r="G169" s="172"/>
      <c r="H169" s="164"/>
      <c r="I169" s="164"/>
      <c r="J169" s="219"/>
      <c r="K169" s="217"/>
      <c r="L169" s="167"/>
      <c r="M169" s="202"/>
      <c r="N169" s="251"/>
      <c r="O169" s="203"/>
      <c r="P169" s="251"/>
      <c r="Q169" s="201"/>
      <c r="R169" s="523"/>
      <c r="S169" s="159"/>
      <c r="T169" s="391"/>
      <c r="U169" s="161"/>
    </row>
    <row r="170" spans="1:21" hidden="1" outlineLevel="2">
      <c r="A170" s="162"/>
      <c r="B170" s="171"/>
      <c r="C170" s="151" t="s">
        <v>507</v>
      </c>
      <c r="D170" s="339"/>
      <c r="E170" s="164"/>
      <c r="F170" s="165"/>
      <c r="G170" s="172"/>
      <c r="H170" s="164"/>
      <c r="I170" s="164"/>
      <c r="J170" s="219"/>
      <c r="K170" s="217"/>
      <c r="L170" s="167"/>
      <c r="M170" s="202"/>
      <c r="N170" s="251"/>
      <c r="O170" s="203"/>
      <c r="P170" s="251"/>
      <c r="Q170" s="201"/>
      <c r="R170" s="523"/>
      <c r="S170" s="159"/>
      <c r="T170" s="391"/>
      <c r="U170" s="170"/>
    </row>
    <row r="171" spans="1:21" hidden="1" outlineLevel="2">
      <c r="A171" s="162"/>
      <c r="B171" s="171"/>
      <c r="C171" s="174" t="s">
        <v>496</v>
      </c>
      <c r="D171" s="340"/>
      <c r="E171" s="164"/>
      <c r="F171" s="165"/>
      <c r="G171" s="172"/>
      <c r="H171" s="164"/>
      <c r="I171" s="164"/>
      <c r="J171" s="219"/>
      <c r="K171" s="217"/>
      <c r="L171" s="167"/>
      <c r="M171" s="202"/>
      <c r="N171" s="251"/>
      <c r="O171" s="203"/>
      <c r="P171" s="251"/>
      <c r="Q171" s="201"/>
      <c r="R171" s="523"/>
      <c r="S171" s="159"/>
      <c r="T171" s="391"/>
      <c r="U171" s="161" t="s">
        <v>525</v>
      </c>
    </row>
    <row r="172" spans="1:21" hidden="1" outlineLevel="2">
      <c r="A172" s="162"/>
      <c r="B172" s="171"/>
      <c r="C172" s="174" t="s">
        <v>497</v>
      </c>
      <c r="D172" s="340"/>
      <c r="E172" s="164"/>
      <c r="F172" s="165"/>
      <c r="G172" s="172"/>
      <c r="H172" s="164"/>
      <c r="I172" s="164"/>
      <c r="J172" s="219"/>
      <c r="K172" s="217"/>
      <c r="L172" s="167"/>
      <c r="M172" s="202"/>
      <c r="N172" s="251"/>
      <c r="O172" s="203"/>
      <c r="P172" s="251"/>
      <c r="Q172" s="201"/>
      <c r="R172" s="523"/>
      <c r="S172" s="159"/>
      <c r="T172" s="391"/>
      <c r="U172" s="170"/>
    </row>
    <row r="173" spans="1:21" hidden="1" outlineLevel="2">
      <c r="A173" s="162"/>
      <c r="B173" s="171"/>
      <c r="C173" s="174" t="s">
        <v>499</v>
      </c>
      <c r="D173" s="340"/>
      <c r="E173" s="164"/>
      <c r="F173" s="165"/>
      <c r="G173" s="172"/>
      <c r="H173" s="164"/>
      <c r="I173" s="164"/>
      <c r="J173" s="219"/>
      <c r="K173" s="217"/>
      <c r="L173" s="167"/>
      <c r="M173" s="202"/>
      <c r="N173" s="251"/>
      <c r="O173" s="203"/>
      <c r="P173" s="251"/>
      <c r="Q173" s="201"/>
      <c r="R173" s="523"/>
      <c r="S173" s="159"/>
      <c r="T173" s="391"/>
      <c r="U173" s="170"/>
    </row>
    <row r="174" spans="1:21" hidden="1" outlineLevel="2">
      <c r="A174" s="162"/>
      <c r="B174" s="171"/>
      <c r="C174" s="174" t="s">
        <v>526</v>
      </c>
      <c r="D174" s="340"/>
      <c r="E174" s="164"/>
      <c r="F174" s="165"/>
      <c r="G174" s="172"/>
      <c r="H174" s="164"/>
      <c r="I174" s="164"/>
      <c r="J174" s="219"/>
      <c r="K174" s="217"/>
      <c r="L174" s="167"/>
      <c r="M174" s="202"/>
      <c r="N174" s="251"/>
      <c r="O174" s="203"/>
      <c r="P174" s="251"/>
      <c r="Q174" s="201"/>
      <c r="R174" s="523"/>
      <c r="S174" s="159"/>
      <c r="T174" s="391"/>
      <c r="U174" s="161" t="s">
        <v>525</v>
      </c>
    </row>
    <row r="175" spans="1:21" hidden="1" outlineLevel="2">
      <c r="A175" s="162"/>
      <c r="B175" s="171"/>
      <c r="C175" s="174" t="s">
        <v>508</v>
      </c>
      <c r="D175" s="340"/>
      <c r="E175" s="164"/>
      <c r="F175" s="165"/>
      <c r="G175" s="172"/>
      <c r="H175" s="164"/>
      <c r="I175" s="164"/>
      <c r="J175" s="219"/>
      <c r="K175" s="217"/>
      <c r="L175" s="167"/>
      <c r="M175" s="202"/>
      <c r="N175" s="251"/>
      <c r="O175" s="203">
        <v>30750000</v>
      </c>
      <c r="P175" s="251">
        <f>O175*1.46</f>
        <v>44895000</v>
      </c>
      <c r="Q175" s="201"/>
      <c r="R175" s="523"/>
      <c r="S175" s="159">
        <f>SUM(L175,N175,P175,R175)</f>
        <v>44895000</v>
      </c>
      <c r="T175" s="391" t="s">
        <v>1151</v>
      </c>
      <c r="U175" s="393" t="s">
        <v>997</v>
      </c>
    </row>
    <row r="176" spans="1:21" hidden="1" outlineLevel="2">
      <c r="A176" s="162"/>
      <c r="B176" s="171"/>
      <c r="C176" s="464" t="s">
        <v>527</v>
      </c>
      <c r="D176" s="535"/>
      <c r="E176" s="164"/>
      <c r="F176" s="165"/>
      <c r="G176" s="172">
        <f>CIP!$AR$11</f>
        <v>2162000</v>
      </c>
      <c r="H176" s="164"/>
      <c r="I176" s="164"/>
      <c r="J176" s="219"/>
      <c r="K176" s="217"/>
      <c r="L176" s="167">
        <f>SUM(G176:K176)</f>
        <v>2162000</v>
      </c>
      <c r="M176" s="202"/>
      <c r="N176" s="251"/>
      <c r="O176" s="203"/>
      <c r="P176" s="251"/>
      <c r="Q176" s="201"/>
      <c r="R176" s="523"/>
      <c r="S176" s="159">
        <f>SUM(L176,N176,P176,R176)</f>
        <v>2162000</v>
      </c>
      <c r="T176" s="391" t="s">
        <v>360</v>
      </c>
      <c r="U176" s="161" t="s">
        <v>1003</v>
      </c>
    </row>
    <row r="177" spans="1:21" s="135" customFormat="1" ht="15" hidden="1" customHeight="1" outlineLevel="1" collapsed="1">
      <c r="A177" s="229"/>
      <c r="B177" s="151"/>
      <c r="C177" s="151" t="s">
        <v>522</v>
      </c>
      <c r="D177" s="339"/>
      <c r="E177" s="244"/>
      <c r="F177" s="248"/>
      <c r="G177" s="536">
        <f>SUM(G149:G176)</f>
        <v>2162000</v>
      </c>
      <c r="H177" s="244">
        <f>SUM(H149:H174)</f>
        <v>0</v>
      </c>
      <c r="I177" s="244"/>
      <c r="J177" s="251">
        <f>SUM(J151:J174)</f>
        <v>96458.455124999979</v>
      </c>
      <c r="K177" s="252"/>
      <c r="L177" s="226">
        <f>SUM(L149:L176)</f>
        <v>2258458.4551249999</v>
      </c>
      <c r="M177" s="202">
        <f>SUM(M151:M176)</f>
        <v>525000</v>
      </c>
      <c r="N177" s="251">
        <f>M177*1.23</f>
        <v>645750</v>
      </c>
      <c r="O177" s="203">
        <f>SUM(O148:O176)</f>
        <v>30750000</v>
      </c>
      <c r="P177" s="252">
        <f>O177*1.46</f>
        <v>44895000</v>
      </c>
      <c r="Q177" s="201"/>
      <c r="R177" s="523"/>
      <c r="S177" s="159">
        <f>SUM(L177,N177,P177,R177)</f>
        <v>47799208.455124997</v>
      </c>
      <c r="T177" s="391" t="s">
        <v>996</v>
      </c>
      <c r="U177" s="170" t="s">
        <v>1005</v>
      </c>
    </row>
    <row r="178" spans="1:21" hidden="1" outlineLevel="2">
      <c r="A178" s="162"/>
      <c r="B178" s="151" t="s">
        <v>528</v>
      </c>
      <c r="C178" s="171"/>
      <c r="D178" s="345"/>
      <c r="E178" s="164"/>
      <c r="F178" s="165"/>
      <c r="G178" s="172"/>
      <c r="H178" s="164"/>
      <c r="I178" s="164"/>
      <c r="J178" s="219"/>
      <c r="K178" s="217"/>
      <c r="L178" s="167"/>
      <c r="M178" s="202"/>
      <c r="N178" s="525"/>
      <c r="O178" s="203"/>
      <c r="P178" s="251"/>
      <c r="Q178" s="201"/>
      <c r="R178" s="523"/>
      <c r="S178" s="159"/>
      <c r="T178" s="391"/>
      <c r="U178" s="170"/>
    </row>
    <row r="179" spans="1:21" hidden="1" outlineLevel="2">
      <c r="A179" s="162"/>
      <c r="B179" s="171"/>
      <c r="C179" s="151" t="s">
        <v>503</v>
      </c>
      <c r="D179" s="339"/>
      <c r="E179" s="164"/>
      <c r="F179" s="165"/>
      <c r="G179" s="172"/>
      <c r="H179" s="164"/>
      <c r="I179" s="164"/>
      <c r="J179" s="219"/>
      <c r="K179" s="217"/>
      <c r="L179" s="167"/>
      <c r="M179" s="202"/>
      <c r="N179" s="525"/>
      <c r="O179" s="203"/>
      <c r="P179" s="251"/>
      <c r="Q179" s="201"/>
      <c r="R179" s="523"/>
      <c r="S179" s="159"/>
      <c r="T179" s="391"/>
      <c r="U179" s="170"/>
    </row>
    <row r="180" spans="1:21" hidden="1" outlineLevel="2">
      <c r="A180" s="162"/>
      <c r="B180" s="171"/>
      <c r="C180" s="174" t="s">
        <v>529</v>
      </c>
      <c r="D180" s="340"/>
      <c r="E180" s="164"/>
      <c r="F180" s="165"/>
      <c r="G180" s="212"/>
      <c r="H180" s="203"/>
      <c r="I180" s="168"/>
      <c r="J180" s="219">
        <f>CIP!$AU$93</f>
        <v>0</v>
      </c>
      <c r="K180" s="217"/>
      <c r="L180" s="167">
        <f>SUM(G180:K180)</f>
        <v>0</v>
      </c>
      <c r="M180" s="202"/>
      <c r="N180" s="525"/>
      <c r="O180" s="203">
        <v>500000</v>
      </c>
      <c r="P180" s="251">
        <f>O180*1.46</f>
        <v>730000</v>
      </c>
      <c r="Q180" s="201"/>
      <c r="R180" s="523"/>
      <c r="S180" s="159">
        <f>SUM(L180,N180,P180,R180)</f>
        <v>730000</v>
      </c>
      <c r="T180" s="391"/>
      <c r="U180" s="170"/>
    </row>
    <row r="181" spans="1:21" hidden="1" outlineLevel="2">
      <c r="A181" s="162"/>
      <c r="B181" s="171"/>
      <c r="C181" s="174" t="s">
        <v>478</v>
      </c>
      <c r="D181" s="340"/>
      <c r="E181" s="164"/>
      <c r="F181" s="165"/>
      <c r="G181" s="172"/>
      <c r="H181" s="164"/>
      <c r="I181" s="164"/>
      <c r="J181" s="219"/>
      <c r="K181" s="217"/>
      <c r="L181" s="167"/>
      <c r="M181" s="202"/>
      <c r="N181" s="525"/>
      <c r="O181" s="203"/>
      <c r="P181" s="251"/>
      <c r="Q181" s="201"/>
      <c r="R181" s="523"/>
      <c r="S181" s="159"/>
      <c r="T181" s="391"/>
      <c r="U181" s="170"/>
    </row>
    <row r="182" spans="1:21" hidden="1" outlineLevel="2">
      <c r="A182" s="162"/>
      <c r="B182" s="171"/>
      <c r="C182" s="174" t="s">
        <v>479</v>
      </c>
      <c r="D182" s="340"/>
      <c r="E182" s="164"/>
      <c r="F182" s="165"/>
      <c r="G182" s="172"/>
      <c r="H182" s="164"/>
      <c r="I182" s="164"/>
      <c r="J182" s="219"/>
      <c r="K182" s="217"/>
      <c r="L182" s="526"/>
      <c r="M182" s="204">
        <v>750000</v>
      </c>
      <c r="N182" s="251">
        <f>M182*1.23</f>
        <v>922500</v>
      </c>
      <c r="O182" s="203">
        <v>2000000</v>
      </c>
      <c r="P182" s="251">
        <f>O182*1.46</f>
        <v>2920000</v>
      </c>
      <c r="Q182" s="201"/>
      <c r="R182" s="523"/>
      <c r="S182" s="159">
        <f t="shared" ref="S182:S205" si="0">SUM(L182,N182,P182,R182)</f>
        <v>3842500</v>
      </c>
      <c r="T182" s="391"/>
      <c r="U182" s="170"/>
    </row>
    <row r="183" spans="1:21" hidden="1" outlineLevel="2">
      <c r="A183" s="162"/>
      <c r="B183" s="171"/>
      <c r="C183" s="174" t="s">
        <v>480</v>
      </c>
      <c r="D183" s="340"/>
      <c r="E183" s="164"/>
      <c r="F183" s="165"/>
      <c r="G183" s="172"/>
      <c r="H183" s="164"/>
      <c r="I183" s="164"/>
      <c r="J183" s="219"/>
      <c r="K183" s="217"/>
      <c r="L183" s="167"/>
      <c r="M183" s="202"/>
      <c r="N183" s="525"/>
      <c r="O183" s="203"/>
      <c r="P183" s="251"/>
      <c r="Q183" s="201"/>
      <c r="R183" s="523"/>
      <c r="S183" s="159"/>
      <c r="T183" s="391"/>
      <c r="U183" s="170" t="s">
        <v>514</v>
      </c>
    </row>
    <row r="184" spans="1:21" hidden="1" outlineLevel="2">
      <c r="A184" s="162"/>
      <c r="B184" s="171"/>
      <c r="C184" s="174" t="s">
        <v>524</v>
      </c>
      <c r="D184" s="340"/>
      <c r="E184" s="164"/>
      <c r="F184" s="165"/>
      <c r="G184" s="172"/>
      <c r="H184" s="164"/>
      <c r="I184" s="164"/>
      <c r="J184" s="219"/>
      <c r="K184" s="217"/>
      <c r="L184" s="167"/>
      <c r="M184" s="202"/>
      <c r="N184" s="525"/>
      <c r="O184" s="203"/>
      <c r="P184" s="251"/>
      <c r="Q184" s="201"/>
      <c r="R184" s="523"/>
      <c r="S184" s="159"/>
      <c r="T184" s="391"/>
      <c r="U184" s="170" t="s">
        <v>530</v>
      </c>
    </row>
    <row r="185" spans="1:21" hidden="1" outlineLevel="2">
      <c r="A185" s="162"/>
      <c r="B185" s="171"/>
      <c r="C185" s="151" t="s">
        <v>504</v>
      </c>
      <c r="D185" s="339"/>
      <c r="E185" s="164"/>
      <c r="F185" s="165"/>
      <c r="G185" s="172"/>
      <c r="H185" s="164"/>
      <c r="I185" s="164"/>
      <c r="J185" s="219"/>
      <c r="K185" s="217"/>
      <c r="L185" s="167"/>
      <c r="M185" s="202"/>
      <c r="N185" s="525"/>
      <c r="O185" s="203"/>
      <c r="P185" s="251"/>
      <c r="Q185" s="201"/>
      <c r="R185" s="523"/>
      <c r="S185" s="159"/>
      <c r="T185" s="391"/>
      <c r="U185" s="170"/>
    </row>
    <row r="186" spans="1:21" hidden="1" outlineLevel="2">
      <c r="A186" s="162"/>
      <c r="B186" s="171"/>
      <c r="C186" s="174" t="s">
        <v>483</v>
      </c>
      <c r="D186" s="340"/>
      <c r="E186" s="164"/>
      <c r="F186" s="165"/>
      <c r="G186" s="172"/>
      <c r="H186" s="164"/>
      <c r="I186" s="164"/>
      <c r="J186" s="219"/>
      <c r="K186" s="217"/>
      <c r="L186" s="167"/>
      <c r="M186" s="202"/>
      <c r="N186" s="525"/>
      <c r="O186" s="203"/>
      <c r="P186" s="251"/>
      <c r="Q186" s="201"/>
      <c r="R186" s="523"/>
      <c r="S186" s="159"/>
      <c r="T186" s="391"/>
      <c r="U186" s="170"/>
    </row>
    <row r="187" spans="1:21" hidden="1" outlineLevel="2">
      <c r="A187" s="162"/>
      <c r="B187" s="171"/>
      <c r="C187" s="174" t="s">
        <v>484</v>
      </c>
      <c r="D187" s="340"/>
      <c r="E187" s="164"/>
      <c r="F187" s="165"/>
      <c r="G187" s="172"/>
      <c r="H187" s="164"/>
      <c r="I187" s="164"/>
      <c r="J187" s="219"/>
      <c r="K187" s="217"/>
      <c r="L187" s="167"/>
      <c r="M187" s="202"/>
      <c r="N187" s="525"/>
      <c r="O187" s="203"/>
      <c r="P187" s="251"/>
      <c r="Q187" s="201"/>
      <c r="R187" s="523"/>
      <c r="S187" s="159"/>
      <c r="T187" s="391"/>
      <c r="U187" s="170" t="s">
        <v>984</v>
      </c>
    </row>
    <row r="188" spans="1:21" hidden="1" outlineLevel="2">
      <c r="A188" s="162"/>
      <c r="B188" s="171"/>
      <c r="C188" s="174" t="s">
        <v>479</v>
      </c>
      <c r="D188" s="340"/>
      <c r="E188" s="164"/>
      <c r="F188" s="165"/>
      <c r="G188" s="172"/>
      <c r="H188" s="164"/>
      <c r="I188" s="164"/>
      <c r="J188" s="219"/>
      <c r="K188" s="217"/>
      <c r="L188" s="167"/>
      <c r="M188" s="202"/>
      <c r="N188" s="525"/>
      <c r="O188" s="203"/>
      <c r="P188" s="251"/>
      <c r="Q188" s="201"/>
      <c r="R188" s="523"/>
      <c r="S188" s="159"/>
      <c r="T188" s="391"/>
      <c r="U188" s="170"/>
    </row>
    <row r="189" spans="1:21" hidden="1" outlineLevel="2">
      <c r="A189" s="162"/>
      <c r="B189" s="171"/>
      <c r="C189" s="174" t="s">
        <v>485</v>
      </c>
      <c r="D189" s="340"/>
      <c r="E189" s="164"/>
      <c r="F189" s="165"/>
      <c r="G189" s="172"/>
      <c r="H189" s="164"/>
      <c r="I189" s="164"/>
      <c r="J189" s="219"/>
      <c r="K189" s="217"/>
      <c r="L189" s="167"/>
      <c r="M189" s="202"/>
      <c r="N189" s="525"/>
      <c r="O189" s="203"/>
      <c r="P189" s="251"/>
      <c r="Q189" s="201"/>
      <c r="R189" s="523"/>
      <c r="S189" s="159"/>
      <c r="T189" s="391"/>
      <c r="U189" s="170"/>
    </row>
    <row r="190" spans="1:21" hidden="1" outlineLevel="2">
      <c r="A190" s="162"/>
      <c r="B190" s="171"/>
      <c r="C190" s="151" t="s">
        <v>505</v>
      </c>
      <c r="D190" s="339"/>
      <c r="E190" s="164"/>
      <c r="F190" s="165"/>
      <c r="G190" s="172"/>
      <c r="H190" s="164"/>
      <c r="I190" s="164"/>
      <c r="J190" s="219"/>
      <c r="K190" s="217"/>
      <c r="L190" s="167"/>
      <c r="M190" s="202"/>
      <c r="N190" s="525"/>
      <c r="O190" s="203"/>
      <c r="P190" s="251"/>
      <c r="Q190" s="201"/>
      <c r="R190" s="523"/>
      <c r="S190" s="159"/>
      <c r="T190" s="391"/>
      <c r="U190" s="170"/>
    </row>
    <row r="191" spans="1:21" hidden="1" outlineLevel="2">
      <c r="A191" s="162"/>
      <c r="B191" s="171"/>
      <c r="C191" s="174" t="s">
        <v>487</v>
      </c>
      <c r="D191" s="340"/>
      <c r="E191" s="164"/>
      <c r="F191" s="165"/>
      <c r="G191" s="172"/>
      <c r="H191" s="164"/>
      <c r="I191" s="164"/>
      <c r="J191" s="219"/>
      <c r="K191" s="217"/>
      <c r="L191" s="167"/>
      <c r="M191" s="202"/>
      <c r="N191" s="525"/>
      <c r="O191" s="203"/>
      <c r="P191" s="251"/>
      <c r="Q191" s="201"/>
      <c r="R191" s="523"/>
      <c r="S191" s="159"/>
      <c r="T191" s="391"/>
      <c r="U191" s="170"/>
    </row>
    <row r="192" spans="1:21" hidden="1" outlineLevel="2">
      <c r="A192" s="162"/>
      <c r="B192" s="171"/>
      <c r="C192" s="174" t="s">
        <v>479</v>
      </c>
      <c r="D192" s="340"/>
      <c r="E192" s="164"/>
      <c r="F192" s="165"/>
      <c r="G192" s="172"/>
      <c r="H192" s="164"/>
      <c r="I192" s="164"/>
      <c r="J192" s="219"/>
      <c r="K192" s="217"/>
      <c r="L192" s="167"/>
      <c r="M192" s="202"/>
      <c r="N192" s="525"/>
      <c r="O192" s="203"/>
      <c r="P192" s="251"/>
      <c r="Q192" s="201"/>
      <c r="R192" s="523"/>
      <c r="S192" s="159"/>
      <c r="T192" s="391"/>
      <c r="U192" s="170"/>
    </row>
    <row r="193" spans="1:21" hidden="1" outlineLevel="2">
      <c r="A193" s="162"/>
      <c r="B193" s="171"/>
      <c r="C193" s="174" t="s">
        <v>488</v>
      </c>
      <c r="D193" s="340"/>
      <c r="E193" s="164"/>
      <c r="F193" s="165"/>
      <c r="G193" s="172"/>
      <c r="H193" s="164"/>
      <c r="I193" s="164"/>
      <c r="J193" s="219"/>
      <c r="K193" s="217"/>
      <c r="L193" s="167"/>
      <c r="M193" s="202"/>
      <c r="N193" s="525"/>
      <c r="O193" s="203"/>
      <c r="P193" s="251"/>
      <c r="Q193" s="201"/>
      <c r="R193" s="523"/>
      <c r="S193" s="159"/>
      <c r="T193" s="391"/>
      <c r="U193" s="170"/>
    </row>
    <row r="194" spans="1:21" hidden="1" outlineLevel="2">
      <c r="A194" s="162"/>
      <c r="B194" s="171"/>
      <c r="C194" s="174" t="s">
        <v>489</v>
      </c>
      <c r="D194" s="340"/>
      <c r="E194" s="164"/>
      <c r="F194" s="165"/>
      <c r="G194" s="172"/>
      <c r="H194" s="164"/>
      <c r="I194" s="164"/>
      <c r="J194" s="219"/>
      <c r="K194" s="217"/>
      <c r="L194" s="167"/>
      <c r="M194" s="202"/>
      <c r="N194" s="525"/>
      <c r="O194" s="203"/>
      <c r="P194" s="251"/>
      <c r="Q194" s="201"/>
      <c r="R194" s="523"/>
      <c r="S194" s="159"/>
      <c r="T194" s="391"/>
      <c r="U194" s="170"/>
    </row>
    <row r="195" spans="1:21" hidden="1" outlineLevel="2">
      <c r="A195" s="162"/>
      <c r="B195" s="171"/>
      <c r="C195" s="151" t="s">
        <v>506</v>
      </c>
      <c r="D195" s="339"/>
      <c r="E195" s="164"/>
      <c r="F195" s="165"/>
      <c r="G195" s="172"/>
      <c r="H195" s="164"/>
      <c r="I195" s="164"/>
      <c r="J195" s="219"/>
      <c r="K195" s="217"/>
      <c r="L195" s="167"/>
      <c r="M195" s="202"/>
      <c r="N195" s="525"/>
      <c r="O195" s="203"/>
      <c r="P195" s="251"/>
      <c r="Q195" s="201"/>
      <c r="R195" s="523"/>
      <c r="S195" s="159"/>
      <c r="T195" s="391"/>
      <c r="U195" s="170"/>
    </row>
    <row r="196" spans="1:21" hidden="1" outlineLevel="2">
      <c r="A196" s="162"/>
      <c r="B196" s="171"/>
      <c r="C196" s="174" t="s">
        <v>491</v>
      </c>
      <c r="D196" s="340"/>
      <c r="E196" s="164"/>
      <c r="F196" s="165"/>
      <c r="G196" s="172"/>
      <c r="H196" s="164"/>
      <c r="I196" s="164"/>
      <c r="J196" s="219"/>
      <c r="K196" s="217"/>
      <c r="L196" s="167"/>
      <c r="M196" s="202"/>
      <c r="N196" s="525"/>
      <c r="O196" s="203"/>
      <c r="P196" s="251"/>
      <c r="Q196" s="201"/>
      <c r="R196" s="523"/>
      <c r="S196" s="159"/>
      <c r="T196" s="391"/>
      <c r="U196" s="170"/>
    </row>
    <row r="197" spans="1:21" hidden="1" outlineLevel="2">
      <c r="A197" s="162"/>
      <c r="B197" s="171"/>
      <c r="C197" s="174" t="s">
        <v>492</v>
      </c>
      <c r="D197" s="340"/>
      <c r="E197" s="164"/>
      <c r="F197" s="165"/>
      <c r="G197" s="172"/>
      <c r="H197" s="164"/>
      <c r="I197" s="164"/>
      <c r="J197" s="219"/>
      <c r="K197" s="217"/>
      <c r="L197" s="167"/>
      <c r="M197" s="202">
        <v>600000</v>
      </c>
      <c r="N197" s="251">
        <f>M197*1.23</f>
        <v>738000</v>
      </c>
      <c r="O197" s="203"/>
      <c r="P197" s="251"/>
      <c r="Q197" s="201"/>
      <c r="R197" s="523"/>
      <c r="S197" s="159">
        <f t="shared" si="0"/>
        <v>738000</v>
      </c>
      <c r="T197" s="391"/>
      <c r="U197" s="170"/>
    </row>
    <row r="198" spans="1:21" hidden="1" outlineLevel="2">
      <c r="A198" s="162"/>
      <c r="B198" s="171"/>
      <c r="C198" s="174" t="s">
        <v>493</v>
      </c>
      <c r="D198" s="340"/>
      <c r="E198" s="164"/>
      <c r="F198" s="165"/>
      <c r="G198" s="172"/>
      <c r="H198" s="164"/>
      <c r="I198" s="164"/>
      <c r="J198" s="217"/>
      <c r="K198" s="222"/>
      <c r="L198" s="167"/>
      <c r="M198" s="201">
        <v>750000</v>
      </c>
      <c r="N198" s="251">
        <f>M198*1.23</f>
        <v>922500</v>
      </c>
      <c r="O198" s="203"/>
      <c r="P198" s="251"/>
      <c r="Q198" s="201"/>
      <c r="R198" s="523"/>
      <c r="S198" s="159">
        <f t="shared" si="0"/>
        <v>922500</v>
      </c>
      <c r="T198" s="391"/>
      <c r="U198" s="170"/>
    </row>
    <row r="199" spans="1:21" hidden="1" outlineLevel="2">
      <c r="A199" s="162"/>
      <c r="B199" s="171"/>
      <c r="C199" s="174" t="s">
        <v>494</v>
      </c>
      <c r="D199" s="340"/>
      <c r="E199" s="164"/>
      <c r="F199" s="165"/>
      <c r="G199" s="172"/>
      <c r="H199" s="164"/>
      <c r="I199" s="164"/>
      <c r="J199" s="219"/>
      <c r="K199" s="217"/>
      <c r="L199" s="167"/>
      <c r="M199" s="202"/>
      <c r="N199" s="525"/>
      <c r="O199" s="203"/>
      <c r="P199" s="251"/>
      <c r="Q199" s="201"/>
      <c r="R199" s="523"/>
      <c r="S199" s="159"/>
      <c r="T199" s="391"/>
      <c r="U199" s="170"/>
    </row>
    <row r="200" spans="1:21" hidden="1" outlineLevel="2">
      <c r="A200" s="162"/>
      <c r="B200" s="171"/>
      <c r="C200" s="151" t="s">
        <v>507</v>
      </c>
      <c r="D200" s="339"/>
      <c r="E200" s="164"/>
      <c r="F200" s="165"/>
      <c r="G200" s="172"/>
      <c r="H200" s="164"/>
      <c r="I200" s="164"/>
      <c r="J200" s="219"/>
      <c r="K200" s="217"/>
      <c r="L200" s="167"/>
      <c r="M200" s="202"/>
      <c r="N200" s="525"/>
      <c r="O200" s="203"/>
      <c r="P200" s="251"/>
      <c r="Q200" s="201"/>
      <c r="R200" s="523"/>
      <c r="S200" s="159"/>
      <c r="T200" s="391"/>
      <c r="U200" s="170"/>
    </row>
    <row r="201" spans="1:21" hidden="1" outlineLevel="2">
      <c r="A201" s="162"/>
      <c r="B201" s="171"/>
      <c r="C201" s="174" t="s">
        <v>496</v>
      </c>
      <c r="D201" s="340"/>
      <c r="E201" s="164"/>
      <c r="F201" s="165"/>
      <c r="G201" s="172"/>
      <c r="H201" s="164"/>
      <c r="I201" s="164"/>
      <c r="J201" s="219"/>
      <c r="K201" s="217"/>
      <c r="L201" s="167"/>
      <c r="M201" s="202">
        <v>350000</v>
      </c>
      <c r="N201" s="251">
        <f>M201*1.23</f>
        <v>430500</v>
      </c>
      <c r="O201" s="203"/>
      <c r="P201" s="251"/>
      <c r="Q201" s="201"/>
      <c r="R201" s="523"/>
      <c r="S201" s="159">
        <f t="shared" si="0"/>
        <v>430500</v>
      </c>
      <c r="T201" s="391"/>
      <c r="U201" s="170"/>
    </row>
    <row r="202" spans="1:21" hidden="1" outlineLevel="2">
      <c r="A202" s="162"/>
      <c r="B202" s="171"/>
      <c r="C202" s="174" t="s">
        <v>497</v>
      </c>
      <c r="D202" s="340"/>
      <c r="E202" s="164"/>
      <c r="F202" s="165"/>
      <c r="G202" s="172"/>
      <c r="H202" s="164"/>
      <c r="I202" s="164"/>
      <c r="J202" s="219"/>
      <c r="K202" s="217"/>
      <c r="L202" s="167"/>
      <c r="M202" s="202"/>
      <c r="N202" s="525"/>
      <c r="O202" s="203">
        <v>100000</v>
      </c>
      <c r="P202" s="251">
        <f t="shared" ref="P202:P205" si="1">O202*1.46</f>
        <v>146000</v>
      </c>
      <c r="Q202" s="201"/>
      <c r="R202" s="523"/>
      <c r="S202" s="159">
        <f t="shared" si="0"/>
        <v>146000</v>
      </c>
      <c r="T202" s="391"/>
      <c r="U202" s="170" t="s">
        <v>531</v>
      </c>
    </row>
    <row r="203" spans="1:21" hidden="1" outlineLevel="2">
      <c r="A203" s="162"/>
      <c r="B203" s="171"/>
      <c r="C203" s="174" t="s">
        <v>499</v>
      </c>
      <c r="D203" s="340"/>
      <c r="E203" s="164"/>
      <c r="F203" s="165"/>
      <c r="G203" s="172"/>
      <c r="H203" s="164"/>
      <c r="I203" s="164"/>
      <c r="J203" s="219"/>
      <c r="K203" s="217"/>
      <c r="L203" s="167"/>
      <c r="M203" s="202">
        <v>300000</v>
      </c>
      <c r="N203" s="251">
        <f>M203*1.23</f>
        <v>369000</v>
      </c>
      <c r="O203" s="203"/>
      <c r="P203" s="251"/>
      <c r="Q203" s="201"/>
      <c r="R203" s="523"/>
      <c r="S203" s="159">
        <f t="shared" si="0"/>
        <v>369000</v>
      </c>
      <c r="T203" s="391"/>
      <c r="U203" s="170" t="s">
        <v>532</v>
      </c>
    </row>
    <row r="204" spans="1:21" hidden="1" outlineLevel="2">
      <c r="A204" s="162"/>
      <c r="B204" s="171"/>
      <c r="C204" s="174" t="s">
        <v>526</v>
      </c>
      <c r="D204" s="340"/>
      <c r="E204" s="164"/>
      <c r="F204" s="165"/>
      <c r="G204" s="172"/>
      <c r="H204" s="164"/>
      <c r="I204" s="164"/>
      <c r="J204" s="219"/>
      <c r="K204" s="217"/>
      <c r="L204" s="167"/>
      <c r="M204" s="202">
        <v>500000</v>
      </c>
      <c r="N204" s="251">
        <f>M204*1.23</f>
        <v>615000</v>
      </c>
      <c r="O204" s="203"/>
      <c r="P204" s="251"/>
      <c r="Q204" s="201"/>
      <c r="R204" s="523"/>
      <c r="S204" s="159">
        <f t="shared" si="0"/>
        <v>615000</v>
      </c>
      <c r="T204" s="391"/>
      <c r="U204" s="170"/>
    </row>
    <row r="205" spans="1:21" s="216" customFormat="1" hidden="1" outlineLevel="1" collapsed="1">
      <c r="A205" s="537"/>
      <c r="B205" s="404"/>
      <c r="C205" s="151" t="s">
        <v>528</v>
      </c>
      <c r="D205" s="339"/>
      <c r="E205" s="406"/>
      <c r="F205" s="407"/>
      <c r="G205" s="423"/>
      <c r="H205" s="406"/>
      <c r="I205" s="406"/>
      <c r="J205" s="538">
        <f>SUM(J179:J204)</f>
        <v>0</v>
      </c>
      <c r="K205" s="539"/>
      <c r="L205" s="540">
        <f>SUM(G205:K205)</f>
        <v>0</v>
      </c>
      <c r="M205" s="204">
        <f>SUM(M180:M204)</f>
        <v>3250000</v>
      </c>
      <c r="N205" s="251">
        <f>M205*1.23</f>
        <v>3997500</v>
      </c>
      <c r="O205" s="241">
        <f>SUM(O180:O204)</f>
        <v>2600000</v>
      </c>
      <c r="P205" s="251">
        <f t="shared" si="1"/>
        <v>3796000</v>
      </c>
      <c r="Q205" s="524"/>
      <c r="R205" s="523"/>
      <c r="S205" s="159">
        <f t="shared" si="0"/>
        <v>7793500</v>
      </c>
      <c r="T205" s="391" t="s">
        <v>360</v>
      </c>
      <c r="U205" s="541"/>
    </row>
    <row r="206" spans="1:21" hidden="1" outlineLevel="2">
      <c r="A206" s="162"/>
      <c r="B206" s="151" t="s">
        <v>541</v>
      </c>
      <c r="C206" s="171"/>
      <c r="D206" s="345"/>
      <c r="E206" s="164"/>
      <c r="F206" s="165"/>
      <c r="G206" s="172"/>
      <c r="H206" s="164"/>
      <c r="I206" s="164"/>
      <c r="J206" s="219"/>
      <c r="K206" s="217"/>
      <c r="L206" s="167"/>
      <c r="M206" s="206"/>
      <c r="N206" s="525"/>
      <c r="O206" s="203"/>
      <c r="P206" s="251"/>
      <c r="Q206" s="201"/>
      <c r="R206" s="523"/>
      <c r="S206" s="159"/>
      <c r="T206" s="391"/>
      <c r="U206" s="170"/>
    </row>
    <row r="207" spans="1:21" hidden="1" outlineLevel="2">
      <c r="A207" s="162"/>
      <c r="B207" s="171"/>
      <c r="C207" s="151" t="s">
        <v>503</v>
      </c>
      <c r="D207" s="339"/>
      <c r="E207" s="164"/>
      <c r="F207" s="165"/>
      <c r="G207" s="172"/>
      <c r="H207" s="164"/>
      <c r="I207" s="164"/>
      <c r="J207" s="219"/>
      <c r="K207" s="217"/>
      <c r="L207" s="167"/>
      <c r="M207" s="203"/>
      <c r="N207" s="525"/>
      <c r="O207" s="203"/>
      <c r="P207" s="251"/>
      <c r="Q207" s="201"/>
      <c r="R207" s="523"/>
      <c r="S207" s="159"/>
      <c r="T207" s="391"/>
      <c r="U207" s="170"/>
    </row>
    <row r="208" spans="1:21" hidden="1" outlineLevel="2">
      <c r="A208" s="162"/>
      <c r="B208" s="171"/>
      <c r="C208" s="174" t="s">
        <v>520</v>
      </c>
      <c r="D208" s="340"/>
      <c r="E208" s="164"/>
      <c r="F208" s="165"/>
      <c r="G208" s="172"/>
      <c r="H208" s="164"/>
      <c r="I208" s="164"/>
      <c r="J208" s="219"/>
      <c r="K208" s="217"/>
      <c r="L208" s="167"/>
      <c r="M208" s="203"/>
      <c r="N208" s="525"/>
      <c r="O208" s="203"/>
      <c r="P208" s="251"/>
      <c r="Q208" s="201"/>
      <c r="R208" s="523"/>
      <c r="S208" s="159"/>
      <c r="T208" s="391"/>
      <c r="U208" s="170"/>
    </row>
    <row r="209" spans="1:23" hidden="1" outlineLevel="2">
      <c r="A209" s="162"/>
      <c r="B209" s="171"/>
      <c r="C209" s="174" t="s">
        <v>478</v>
      </c>
      <c r="D209" s="340"/>
      <c r="E209" s="164"/>
      <c r="F209" s="165"/>
      <c r="G209" s="172"/>
      <c r="H209" s="164"/>
      <c r="I209" s="164"/>
      <c r="J209" s="219"/>
      <c r="K209" s="217"/>
      <c r="L209" s="167"/>
      <c r="M209" s="201">
        <v>75000</v>
      </c>
      <c r="N209" s="251">
        <f>M209*1.23</f>
        <v>92250</v>
      </c>
      <c r="O209" s="202"/>
      <c r="P209" s="251"/>
      <c r="Q209" s="201"/>
      <c r="R209" s="523"/>
      <c r="S209" s="159">
        <f t="shared" ref="S209:S234" si="2">SUM(L209,N209,P209,R209)</f>
        <v>92250</v>
      </c>
      <c r="T209" s="391"/>
      <c r="U209" s="170"/>
    </row>
    <row r="210" spans="1:23" hidden="1" outlineLevel="2">
      <c r="A210" s="162"/>
      <c r="B210" s="171"/>
      <c r="C210" s="174" t="s">
        <v>479</v>
      </c>
      <c r="D210" s="340"/>
      <c r="E210" s="164"/>
      <c r="F210" s="165"/>
      <c r="G210" s="172"/>
      <c r="H210" s="164"/>
      <c r="I210" s="164"/>
      <c r="J210" s="219"/>
      <c r="K210" s="217"/>
      <c r="L210" s="220"/>
      <c r="M210" s="201">
        <v>175000</v>
      </c>
      <c r="N210" s="251">
        <f>M210*1.23</f>
        <v>215250</v>
      </c>
      <c r="O210" s="201"/>
      <c r="P210" s="251"/>
      <c r="Q210" s="201"/>
      <c r="R210" s="523"/>
      <c r="S210" s="159">
        <f t="shared" si="2"/>
        <v>215250</v>
      </c>
      <c r="T210" s="391"/>
      <c r="U210" s="170"/>
    </row>
    <row r="211" spans="1:23" hidden="1" outlineLevel="2">
      <c r="A211" s="162"/>
      <c r="B211" s="171"/>
      <c r="C211" s="174" t="s">
        <v>480</v>
      </c>
      <c r="D211" s="340"/>
      <c r="E211" s="164"/>
      <c r="F211" s="165"/>
      <c r="G211" s="172"/>
      <c r="H211" s="164"/>
      <c r="I211" s="164"/>
      <c r="J211" s="219"/>
      <c r="K211" s="217"/>
      <c r="L211" s="167"/>
      <c r="M211" s="201">
        <v>200000</v>
      </c>
      <c r="N211" s="251">
        <f>M211*1.23</f>
        <v>246000</v>
      </c>
      <c r="O211" s="201"/>
      <c r="P211" s="251"/>
      <c r="Q211" s="201"/>
      <c r="R211" s="523"/>
      <c r="S211" s="159">
        <f t="shared" si="2"/>
        <v>246000</v>
      </c>
      <c r="T211" s="391"/>
      <c r="U211" s="170" t="s">
        <v>542</v>
      </c>
    </row>
    <row r="212" spans="1:23" hidden="1" outlineLevel="2">
      <c r="A212" s="162"/>
      <c r="B212" s="171"/>
      <c r="C212" s="174" t="s">
        <v>481</v>
      </c>
      <c r="D212" s="340"/>
      <c r="E212" s="164"/>
      <c r="F212" s="165"/>
      <c r="G212" s="172"/>
      <c r="H212" s="164"/>
      <c r="I212" s="164"/>
      <c r="J212" s="219"/>
      <c r="K212" s="217"/>
      <c r="L212" s="167"/>
      <c r="M212" s="202"/>
      <c r="N212" s="525"/>
      <c r="O212" s="202"/>
      <c r="P212" s="251"/>
      <c r="Q212" s="201"/>
      <c r="R212" s="523"/>
      <c r="S212" s="159"/>
      <c r="T212" s="391"/>
      <c r="U212" s="170" t="s">
        <v>1142</v>
      </c>
    </row>
    <row r="213" spans="1:23" hidden="1" outlineLevel="2">
      <c r="A213" s="162"/>
      <c r="B213" s="171"/>
      <c r="C213" s="151" t="s">
        <v>504</v>
      </c>
      <c r="D213" s="339"/>
      <c r="E213" s="164"/>
      <c r="F213" s="165"/>
      <c r="G213" s="172"/>
      <c r="H213" s="164"/>
      <c r="I213" s="164"/>
      <c r="J213" s="219"/>
      <c r="K213" s="217"/>
      <c r="L213" s="167"/>
      <c r="M213" s="203"/>
      <c r="N213" s="525"/>
      <c r="O213" s="203"/>
      <c r="P213" s="251"/>
      <c r="Q213" s="201"/>
      <c r="R213" s="523"/>
      <c r="S213" s="159"/>
      <c r="T213" s="391"/>
      <c r="U213" s="170"/>
    </row>
    <row r="214" spans="1:23" hidden="1" outlineLevel="2">
      <c r="A214" s="162"/>
      <c r="B214" s="171"/>
      <c r="C214" s="174" t="s">
        <v>483</v>
      </c>
      <c r="D214" s="340"/>
      <c r="E214" s="164"/>
      <c r="F214" s="165"/>
      <c r="G214" s="172"/>
      <c r="H214" s="164"/>
      <c r="I214" s="164"/>
      <c r="J214" s="219"/>
      <c r="K214" s="217"/>
      <c r="L214" s="167"/>
      <c r="M214" s="203"/>
      <c r="N214" s="525"/>
      <c r="O214" s="203"/>
      <c r="P214" s="251"/>
      <c r="Q214" s="201"/>
      <c r="R214" s="523"/>
      <c r="S214" s="159"/>
      <c r="T214" s="391"/>
      <c r="U214" s="170"/>
    </row>
    <row r="215" spans="1:23" hidden="1" outlineLevel="2">
      <c r="A215" s="162"/>
      <c r="B215" s="171"/>
      <c r="C215" s="174" t="s">
        <v>484</v>
      </c>
      <c r="D215" s="340"/>
      <c r="E215" s="164"/>
      <c r="F215" s="165"/>
      <c r="G215" s="172"/>
      <c r="H215" s="164"/>
      <c r="I215" s="164"/>
      <c r="J215" s="219"/>
      <c r="K215" s="217"/>
      <c r="L215" s="167"/>
      <c r="M215" s="203"/>
      <c r="N215" s="525"/>
      <c r="O215" s="203"/>
      <c r="P215" s="251"/>
      <c r="Q215" s="201"/>
      <c r="R215" s="523"/>
      <c r="S215" s="159"/>
      <c r="T215" s="391"/>
      <c r="U215" s="170"/>
    </row>
    <row r="216" spans="1:23" hidden="1" outlineLevel="2">
      <c r="A216" s="162"/>
      <c r="B216" s="171"/>
      <c r="C216" s="174" t="s">
        <v>479</v>
      </c>
      <c r="D216" s="340"/>
      <c r="E216" s="164"/>
      <c r="F216" s="165"/>
      <c r="G216" s="172"/>
      <c r="H216" s="164"/>
      <c r="I216" s="164"/>
      <c r="J216" s="219"/>
      <c r="K216" s="217"/>
      <c r="L216" s="167"/>
      <c r="M216" s="203"/>
      <c r="N216" s="525"/>
      <c r="O216" s="203"/>
      <c r="P216" s="251"/>
      <c r="Q216" s="201"/>
      <c r="R216" s="523"/>
      <c r="S216" s="159"/>
      <c r="T216" s="391"/>
      <c r="U216" s="170"/>
    </row>
    <row r="217" spans="1:23" hidden="1" outlineLevel="2">
      <c r="A217" s="162"/>
      <c r="B217" s="171"/>
      <c r="C217" s="174" t="s">
        <v>485</v>
      </c>
      <c r="D217" s="340"/>
      <c r="E217" s="164"/>
      <c r="F217" s="165"/>
      <c r="G217" s="172"/>
      <c r="H217" s="164"/>
      <c r="I217" s="164"/>
      <c r="J217" s="219"/>
      <c r="K217" s="217"/>
      <c r="L217" s="167"/>
      <c r="M217" s="203"/>
      <c r="N217" s="525"/>
      <c r="O217" s="203"/>
      <c r="P217" s="251"/>
      <c r="Q217" s="201"/>
      <c r="R217" s="523"/>
      <c r="S217" s="159"/>
      <c r="T217" s="391"/>
      <c r="U217" s="161" t="s">
        <v>535</v>
      </c>
    </row>
    <row r="218" spans="1:23" hidden="1" outlineLevel="2">
      <c r="A218" s="162"/>
      <c r="B218" s="171"/>
      <c r="C218" s="151" t="s">
        <v>505</v>
      </c>
      <c r="D218" s="339"/>
      <c r="E218" s="164"/>
      <c r="F218" s="165"/>
      <c r="G218" s="172"/>
      <c r="H218" s="164"/>
      <c r="I218" s="164"/>
      <c r="J218" s="219"/>
      <c r="K218" s="217"/>
      <c r="L218" s="167"/>
      <c r="M218" s="203"/>
      <c r="N218" s="525"/>
      <c r="O218" s="203"/>
      <c r="P218" s="251"/>
      <c r="Q218" s="201"/>
      <c r="R218" s="523"/>
      <c r="S218" s="159"/>
      <c r="T218" s="391"/>
      <c r="U218" s="170"/>
    </row>
    <row r="219" spans="1:23" hidden="1" outlineLevel="2">
      <c r="A219" s="162"/>
      <c r="B219" s="171"/>
      <c r="C219" s="174" t="s">
        <v>487</v>
      </c>
      <c r="D219" s="340"/>
      <c r="E219" s="164"/>
      <c r="F219" s="165"/>
      <c r="G219" s="172"/>
      <c r="H219" s="164"/>
      <c r="I219" s="164"/>
      <c r="J219" s="219"/>
      <c r="K219" s="217"/>
      <c r="L219" s="167"/>
      <c r="M219" s="203"/>
      <c r="N219" s="525"/>
      <c r="O219" s="203"/>
      <c r="P219" s="251"/>
      <c r="Q219" s="201"/>
      <c r="R219" s="523"/>
      <c r="S219" s="159"/>
      <c r="T219" s="391"/>
      <c r="U219" s="170"/>
    </row>
    <row r="220" spans="1:23" hidden="1" outlineLevel="2">
      <c r="A220" s="162"/>
      <c r="B220" s="171"/>
      <c r="C220" s="174" t="s">
        <v>479</v>
      </c>
      <c r="D220" s="340"/>
      <c r="E220" s="164"/>
      <c r="F220" s="165"/>
      <c r="G220" s="172"/>
      <c r="H220" s="164"/>
      <c r="I220" s="164"/>
      <c r="J220" s="219"/>
      <c r="K220" s="217"/>
      <c r="L220" s="167"/>
      <c r="M220" s="203"/>
      <c r="N220" s="525"/>
      <c r="O220" s="203"/>
      <c r="P220" s="251"/>
      <c r="Q220" s="201"/>
      <c r="R220" s="523"/>
      <c r="S220" s="159"/>
      <c r="T220" s="391"/>
      <c r="U220" s="170"/>
    </row>
    <row r="221" spans="1:23" hidden="1" outlineLevel="2">
      <c r="A221" s="162"/>
      <c r="B221" s="171"/>
      <c r="C221" s="174" t="s">
        <v>488</v>
      </c>
      <c r="D221" s="340"/>
      <c r="E221" s="164"/>
      <c r="F221" s="165"/>
      <c r="G221" s="172"/>
      <c r="H221" s="164"/>
      <c r="I221" s="164"/>
      <c r="J221" s="219"/>
      <c r="K221" s="217"/>
      <c r="L221" s="167"/>
      <c r="M221" s="203"/>
      <c r="N221" s="525"/>
      <c r="O221" s="203"/>
      <c r="P221" s="251"/>
      <c r="Q221" s="201"/>
      <c r="R221" s="523"/>
      <c r="S221" s="159"/>
      <c r="T221" s="391"/>
      <c r="U221" s="170"/>
    </row>
    <row r="222" spans="1:23" hidden="1" outlineLevel="2">
      <c r="A222" s="162"/>
      <c r="B222" s="171"/>
      <c r="C222" s="174" t="s">
        <v>489</v>
      </c>
      <c r="D222" s="340"/>
      <c r="E222" s="164"/>
      <c r="F222" s="165"/>
      <c r="G222" s="172"/>
      <c r="H222" s="164"/>
      <c r="I222" s="164"/>
      <c r="J222" s="219"/>
      <c r="K222" s="217"/>
      <c r="L222" s="167"/>
      <c r="M222" s="203"/>
      <c r="N222" s="525"/>
      <c r="O222" s="203"/>
      <c r="P222" s="251"/>
      <c r="Q222" s="201"/>
      <c r="R222" s="523"/>
      <c r="S222" s="159"/>
      <c r="T222" s="391"/>
      <c r="U222" s="170"/>
      <c r="W222" t="s">
        <v>517</v>
      </c>
    </row>
    <row r="223" spans="1:23" hidden="1" outlineLevel="2">
      <c r="A223" s="162"/>
      <c r="B223" s="171"/>
      <c r="C223" s="151" t="s">
        <v>506</v>
      </c>
      <c r="D223" s="339"/>
      <c r="E223" s="164"/>
      <c r="F223" s="165"/>
      <c r="G223" s="172"/>
      <c r="H223" s="164"/>
      <c r="I223" s="164"/>
      <c r="J223" s="219"/>
      <c r="K223" s="217"/>
      <c r="L223" s="167"/>
      <c r="M223" s="203"/>
      <c r="N223" s="525"/>
      <c r="O223" s="203"/>
      <c r="P223" s="251"/>
      <c r="Q223" s="201"/>
      <c r="R223" s="523"/>
      <c r="S223" s="159"/>
      <c r="T223" s="391"/>
      <c r="U223" s="170"/>
    </row>
    <row r="224" spans="1:23" hidden="1" outlineLevel="2">
      <c r="A224" s="162"/>
      <c r="B224" s="171"/>
      <c r="C224" s="174" t="s">
        <v>491</v>
      </c>
      <c r="D224" s="340"/>
      <c r="E224" s="164"/>
      <c r="F224" s="165"/>
      <c r="G224" s="172"/>
      <c r="H224" s="164"/>
      <c r="I224" s="164"/>
      <c r="J224" s="219"/>
      <c r="K224" s="217"/>
      <c r="L224" s="167"/>
      <c r="M224" s="203"/>
      <c r="N224" s="525"/>
      <c r="O224" s="203"/>
      <c r="P224" s="251"/>
      <c r="Q224" s="201"/>
      <c r="R224" s="523"/>
      <c r="S224" s="159"/>
      <c r="T224" s="391"/>
      <c r="U224" s="170"/>
    </row>
    <row r="225" spans="1:21" hidden="1" outlineLevel="2">
      <c r="A225" s="162"/>
      <c r="B225" s="171"/>
      <c r="C225" s="174" t="s">
        <v>492</v>
      </c>
      <c r="D225" s="340"/>
      <c r="E225" s="164"/>
      <c r="F225" s="165"/>
      <c r="G225" s="172"/>
      <c r="H225" s="164"/>
      <c r="I225" s="164"/>
      <c r="J225" s="219"/>
      <c r="K225" s="217"/>
      <c r="L225" s="167"/>
      <c r="M225" s="203"/>
      <c r="N225" s="525"/>
      <c r="O225" s="203"/>
      <c r="P225" s="251"/>
      <c r="Q225" s="201">
        <v>400000</v>
      </c>
      <c r="R225" s="523">
        <f>Q225*1.73</f>
        <v>692000</v>
      </c>
      <c r="S225" s="159">
        <f t="shared" si="2"/>
        <v>692000</v>
      </c>
      <c r="T225" s="391"/>
      <c r="U225" s="170"/>
    </row>
    <row r="226" spans="1:21" hidden="1" outlineLevel="2">
      <c r="A226" s="162"/>
      <c r="B226" s="171"/>
      <c r="C226" s="174" t="s">
        <v>493</v>
      </c>
      <c r="D226" s="340"/>
      <c r="E226" s="164"/>
      <c r="F226" s="165"/>
      <c r="G226" s="172"/>
      <c r="H226" s="164"/>
      <c r="I226" s="164"/>
      <c r="J226" s="219"/>
      <c r="K226" s="217"/>
      <c r="L226" s="167"/>
      <c r="M226" s="203">
        <v>200000</v>
      </c>
      <c r="N226" s="251">
        <f>M226*1.23</f>
        <v>246000</v>
      </c>
      <c r="O226" s="203"/>
      <c r="P226" s="251"/>
      <c r="Q226" s="201"/>
      <c r="R226" s="523"/>
      <c r="S226" s="159">
        <f t="shared" si="2"/>
        <v>246000</v>
      </c>
      <c r="T226" s="391"/>
      <c r="U226" s="170"/>
    </row>
    <row r="227" spans="1:21" hidden="1" outlineLevel="2">
      <c r="A227" s="162"/>
      <c r="B227" s="171"/>
      <c r="C227" s="174" t="s">
        <v>494</v>
      </c>
      <c r="D227" s="340"/>
      <c r="E227" s="164"/>
      <c r="F227" s="165"/>
      <c r="G227" s="172"/>
      <c r="H227" s="164"/>
      <c r="I227" s="164"/>
      <c r="J227" s="219"/>
      <c r="K227" s="217"/>
      <c r="L227" s="167"/>
      <c r="M227" s="203"/>
      <c r="N227" s="525"/>
      <c r="O227" s="203"/>
      <c r="P227" s="251"/>
      <c r="Q227" s="201"/>
      <c r="R227" s="523"/>
      <c r="S227" s="159"/>
      <c r="T227" s="391"/>
      <c r="U227" s="170"/>
    </row>
    <row r="228" spans="1:21" hidden="1" outlineLevel="2">
      <c r="A228" s="162"/>
      <c r="B228" s="171"/>
      <c r="C228" s="151" t="s">
        <v>507</v>
      </c>
      <c r="D228" s="339"/>
      <c r="E228" s="164"/>
      <c r="F228" s="165"/>
      <c r="G228" s="172"/>
      <c r="H228" s="164"/>
      <c r="I228" s="164"/>
      <c r="J228" s="219"/>
      <c r="K228" s="217"/>
      <c r="L228" s="167"/>
      <c r="M228" s="203"/>
      <c r="N228" s="525"/>
      <c r="O228" s="203"/>
      <c r="P228" s="251"/>
      <c r="Q228" s="201"/>
      <c r="R228" s="523"/>
      <c r="S228" s="159"/>
      <c r="T228" s="391"/>
      <c r="U228" s="170"/>
    </row>
    <row r="229" spans="1:21" hidden="1" outlineLevel="2">
      <c r="A229" s="162"/>
      <c r="B229" s="171"/>
      <c r="C229" s="174" t="s">
        <v>496</v>
      </c>
      <c r="D229" s="340"/>
      <c r="E229" s="164"/>
      <c r="F229" s="165"/>
      <c r="G229" s="172"/>
      <c r="H229" s="164"/>
      <c r="I229" s="164"/>
      <c r="J229" s="219"/>
      <c r="K229" s="217"/>
      <c r="L229" s="167"/>
      <c r="M229" s="203"/>
      <c r="N229" s="525"/>
      <c r="O229" s="203"/>
      <c r="P229" s="251"/>
      <c r="Q229" s="201"/>
      <c r="R229" s="523"/>
      <c r="S229" s="159"/>
      <c r="T229" s="391"/>
      <c r="U229" s="170"/>
    </row>
    <row r="230" spans="1:21" hidden="1" outlineLevel="2">
      <c r="A230" s="162"/>
      <c r="B230" s="171"/>
      <c r="C230" s="174" t="s">
        <v>497</v>
      </c>
      <c r="D230" s="340"/>
      <c r="E230" s="164"/>
      <c r="F230" s="165"/>
      <c r="G230" s="172"/>
      <c r="H230" s="164"/>
      <c r="I230" s="164"/>
      <c r="J230" s="219"/>
      <c r="K230" s="217"/>
      <c r="L230" s="167"/>
      <c r="M230" s="203"/>
      <c r="N230" s="525"/>
      <c r="O230" s="203"/>
      <c r="P230" s="251"/>
      <c r="Q230" s="201"/>
      <c r="R230" s="523"/>
      <c r="S230" s="159"/>
      <c r="T230" s="391"/>
      <c r="U230" s="170"/>
    </row>
    <row r="231" spans="1:21" hidden="1" outlineLevel="2">
      <c r="A231" s="162"/>
      <c r="B231" s="171"/>
      <c r="C231" s="174" t="s">
        <v>499</v>
      </c>
      <c r="D231" s="340"/>
      <c r="E231" s="164"/>
      <c r="F231" s="165"/>
      <c r="G231" s="172"/>
      <c r="H231" s="164"/>
      <c r="I231" s="164"/>
      <c r="J231" s="219"/>
      <c r="K231" s="217"/>
      <c r="L231" s="167"/>
      <c r="M231" s="203"/>
      <c r="N231" s="525"/>
      <c r="O231" s="203"/>
      <c r="P231" s="251"/>
      <c r="Q231" s="201"/>
      <c r="R231" s="523"/>
      <c r="S231" s="159"/>
      <c r="T231" s="391"/>
      <c r="U231" s="170"/>
    </row>
    <row r="232" spans="1:21" hidden="1" outlineLevel="2">
      <c r="A232" s="162"/>
      <c r="B232" s="171"/>
      <c r="C232" s="174" t="s">
        <v>526</v>
      </c>
      <c r="D232" s="340"/>
      <c r="E232" s="164"/>
      <c r="F232" s="165"/>
      <c r="G232" s="172"/>
      <c r="H232" s="164"/>
      <c r="I232" s="164"/>
      <c r="J232" s="219"/>
      <c r="K232" s="217"/>
      <c r="L232" s="167"/>
      <c r="M232" s="203"/>
      <c r="N232" s="525"/>
      <c r="O232" s="203"/>
      <c r="P232" s="251"/>
      <c r="Q232" s="201"/>
      <c r="R232" s="523"/>
      <c r="S232" s="159"/>
      <c r="T232" s="391"/>
      <c r="U232" s="170"/>
    </row>
    <row r="233" spans="1:21" hidden="1" outlineLevel="2">
      <c r="A233" s="162"/>
      <c r="B233" s="171"/>
      <c r="C233" s="174" t="s">
        <v>536</v>
      </c>
      <c r="D233" s="340"/>
      <c r="E233" s="164"/>
      <c r="F233" s="165"/>
      <c r="G233" s="172"/>
      <c r="H233" s="164"/>
      <c r="I233" s="164"/>
      <c r="J233" s="219"/>
      <c r="K233" s="217"/>
      <c r="L233" s="167"/>
      <c r="M233" s="202">
        <v>15000000</v>
      </c>
      <c r="N233" s="251">
        <f>M233*1.23</f>
        <v>18450000</v>
      </c>
      <c r="O233" s="202"/>
      <c r="P233" s="251"/>
      <c r="Q233" s="201"/>
      <c r="R233" s="523"/>
      <c r="S233" s="159">
        <f t="shared" si="2"/>
        <v>18450000</v>
      </c>
      <c r="T233" s="391"/>
      <c r="U233" s="170" t="s">
        <v>543</v>
      </c>
    </row>
    <row r="234" spans="1:21" s="135" customFormat="1" hidden="1" outlineLevel="1" collapsed="1">
      <c r="A234" s="229"/>
      <c r="B234" s="151"/>
      <c r="C234" s="151" t="s">
        <v>541</v>
      </c>
      <c r="D234" s="339"/>
      <c r="E234" s="244"/>
      <c r="F234" s="248"/>
      <c r="G234" s="249"/>
      <c r="H234" s="244"/>
      <c r="I234" s="244"/>
      <c r="J234" s="251"/>
      <c r="K234" s="252"/>
      <c r="L234" s="226"/>
      <c r="M234" s="203">
        <f>SUM(M208:M233)</f>
        <v>15650000</v>
      </c>
      <c r="N234" s="251">
        <f>M234*1.23</f>
        <v>19249500</v>
      </c>
      <c r="O234" s="203"/>
      <c r="P234" s="251"/>
      <c r="Q234" s="201">
        <f>SUM(Q208:Q232)</f>
        <v>400000</v>
      </c>
      <c r="R234" s="523">
        <f>Q234*1.73</f>
        <v>692000</v>
      </c>
      <c r="S234" s="159">
        <f t="shared" si="2"/>
        <v>19941500</v>
      </c>
      <c r="T234" s="391" t="s">
        <v>360</v>
      </c>
      <c r="U234" s="542"/>
    </row>
    <row r="235" spans="1:21" hidden="1" outlineLevel="2">
      <c r="A235" s="162"/>
      <c r="B235" s="151" t="s">
        <v>538</v>
      </c>
      <c r="C235" s="171"/>
      <c r="D235" s="345"/>
      <c r="E235" s="164"/>
      <c r="F235" s="165"/>
      <c r="G235" s="172"/>
      <c r="H235" s="164"/>
      <c r="I235" s="164"/>
      <c r="J235" s="219"/>
      <c r="K235" s="217"/>
      <c r="L235" s="167"/>
      <c r="M235" s="202"/>
      <c r="N235" s="251"/>
      <c r="O235" s="203"/>
      <c r="P235" s="251"/>
      <c r="Q235" s="201"/>
      <c r="R235" s="523"/>
      <c r="S235" s="159"/>
      <c r="T235" s="391"/>
      <c r="U235" s="170"/>
    </row>
    <row r="236" spans="1:21" hidden="1" outlineLevel="2">
      <c r="A236" s="162"/>
      <c r="B236" s="171"/>
      <c r="C236" s="151" t="s">
        <v>503</v>
      </c>
      <c r="D236" s="339"/>
      <c r="E236" s="164"/>
      <c r="F236" s="165"/>
      <c r="G236" s="172"/>
      <c r="H236" s="164"/>
      <c r="I236" s="164"/>
      <c r="J236" s="219"/>
      <c r="K236" s="217"/>
      <c r="L236" s="167"/>
      <c r="M236" s="202"/>
      <c r="N236" s="251"/>
      <c r="O236" s="203"/>
      <c r="P236" s="251"/>
      <c r="Q236" s="201"/>
      <c r="R236" s="523"/>
      <c r="S236" s="159"/>
      <c r="T236" s="391"/>
      <c r="U236" s="170"/>
    </row>
    <row r="237" spans="1:21" hidden="1" outlineLevel="2">
      <c r="A237" s="162"/>
      <c r="B237" s="171"/>
      <c r="C237" s="174" t="s">
        <v>520</v>
      </c>
      <c r="D237" s="340"/>
      <c r="E237" s="164"/>
      <c r="F237" s="165"/>
      <c r="G237" s="172"/>
      <c r="H237" s="164"/>
      <c r="I237" s="164"/>
      <c r="J237" s="219"/>
      <c r="K237" s="217"/>
      <c r="L237" s="167"/>
      <c r="M237" s="202">
        <v>500000</v>
      </c>
      <c r="N237" s="251">
        <f>M237*1.23</f>
        <v>615000</v>
      </c>
      <c r="O237" s="203"/>
      <c r="P237" s="251"/>
      <c r="Q237" s="201"/>
      <c r="R237" s="523"/>
      <c r="S237" s="159">
        <f t="shared" ref="S237:S262" si="3">SUM(L237,N237,P237,R237)</f>
        <v>615000</v>
      </c>
      <c r="T237" s="391"/>
      <c r="U237" s="170"/>
    </row>
    <row r="238" spans="1:21" hidden="1" outlineLevel="2">
      <c r="A238" s="162"/>
      <c r="B238" s="171"/>
      <c r="C238" s="174" t="s">
        <v>478</v>
      </c>
      <c r="D238" s="340"/>
      <c r="E238" s="164"/>
      <c r="F238" s="165"/>
      <c r="G238" s="172"/>
      <c r="H238" s="164"/>
      <c r="I238" s="164"/>
      <c r="J238" s="219"/>
      <c r="K238" s="217"/>
      <c r="L238" s="167"/>
      <c r="M238" s="202"/>
      <c r="N238" s="251"/>
      <c r="O238" s="203"/>
      <c r="P238" s="251"/>
      <c r="Q238" s="201" t="s">
        <v>514</v>
      </c>
      <c r="R238" s="523"/>
      <c r="S238" s="159"/>
      <c r="T238" s="391"/>
      <c r="U238" s="170"/>
    </row>
    <row r="239" spans="1:21" hidden="1" outlineLevel="2">
      <c r="A239" s="162"/>
      <c r="B239" s="171"/>
      <c r="C239" s="174" t="s">
        <v>479</v>
      </c>
      <c r="D239" s="340"/>
      <c r="E239" s="164"/>
      <c r="F239" s="165"/>
      <c r="G239" s="172"/>
      <c r="H239" s="164"/>
      <c r="I239" s="164"/>
      <c r="J239" s="437">
        <f>CIP!$AU$94</f>
        <v>0</v>
      </c>
      <c r="K239" s="217"/>
      <c r="L239" s="220">
        <f>SUM(G239:K239)</f>
        <v>0</v>
      </c>
      <c r="M239" s="202"/>
      <c r="N239" s="251"/>
      <c r="O239" s="202">
        <v>3000000</v>
      </c>
      <c r="P239" s="251">
        <f>O239*1.46</f>
        <v>4380000</v>
      </c>
      <c r="Q239" s="201" t="s">
        <v>514</v>
      </c>
      <c r="R239" s="523"/>
      <c r="S239" s="159">
        <f t="shared" si="3"/>
        <v>4380000</v>
      </c>
      <c r="T239" s="391"/>
      <c r="U239" s="170" t="s">
        <v>1296</v>
      </c>
    </row>
    <row r="240" spans="1:21" hidden="1" outlineLevel="2">
      <c r="A240" s="162"/>
      <c r="B240" s="171"/>
      <c r="C240" s="174" t="s">
        <v>480</v>
      </c>
      <c r="D240" s="340"/>
      <c r="E240" s="164"/>
      <c r="F240" s="165"/>
      <c r="G240" s="172"/>
      <c r="H240" s="164"/>
      <c r="I240" s="164"/>
      <c r="J240" s="219"/>
      <c r="K240" s="217"/>
      <c r="L240" s="167"/>
      <c r="M240" s="202"/>
      <c r="N240" s="251"/>
      <c r="O240" s="203"/>
      <c r="P240" s="251"/>
      <c r="Q240" s="201"/>
      <c r="R240" s="523"/>
      <c r="S240" s="159"/>
      <c r="T240" s="391"/>
      <c r="U240" s="170" t="s">
        <v>514</v>
      </c>
    </row>
    <row r="241" spans="1:21" hidden="1" outlineLevel="2">
      <c r="A241" s="162"/>
      <c r="B241" s="171"/>
      <c r="C241" s="174" t="s">
        <v>539</v>
      </c>
      <c r="D241" s="340"/>
      <c r="E241" s="164"/>
      <c r="F241" s="165"/>
      <c r="G241" s="172"/>
      <c r="H241" s="164"/>
      <c r="I241" s="164"/>
      <c r="J241" s="219" t="e">
        <f>CIP!#REF!</f>
        <v>#REF!</v>
      </c>
      <c r="K241" s="219"/>
      <c r="L241" s="167" t="e">
        <f>SUM(H241:K241)</f>
        <v>#REF!</v>
      </c>
      <c r="M241" s="202"/>
      <c r="N241" s="251"/>
      <c r="O241" s="203"/>
      <c r="P241" s="251"/>
      <c r="Q241" s="201"/>
      <c r="R241" s="523"/>
      <c r="S241" s="159" t="e">
        <f t="shared" si="3"/>
        <v>#REF!</v>
      </c>
      <c r="T241" s="391"/>
      <c r="U241" s="170"/>
    </row>
    <row r="242" spans="1:21" hidden="1" outlineLevel="2">
      <c r="A242" s="162"/>
      <c r="B242" s="171"/>
      <c r="C242" s="151" t="s">
        <v>504</v>
      </c>
      <c r="D242" s="339"/>
      <c r="E242" s="164"/>
      <c r="F242" s="165"/>
      <c r="G242" s="172"/>
      <c r="H242" s="164"/>
      <c r="I242" s="164"/>
      <c r="J242" s="219"/>
      <c r="K242" s="217"/>
      <c r="L242" s="167"/>
      <c r="M242" s="202"/>
      <c r="N242" s="251"/>
      <c r="O242" s="203"/>
      <c r="P242" s="251"/>
      <c r="Q242" s="201"/>
      <c r="R242" s="523"/>
      <c r="S242" s="159"/>
      <c r="T242" s="391"/>
      <c r="U242" s="170"/>
    </row>
    <row r="243" spans="1:21" hidden="1" outlineLevel="2">
      <c r="A243" s="162"/>
      <c r="B243" s="171"/>
      <c r="C243" s="174" t="s">
        <v>483</v>
      </c>
      <c r="D243" s="340"/>
      <c r="E243" s="164"/>
      <c r="F243" s="165"/>
      <c r="G243" s="172"/>
      <c r="H243" s="164"/>
      <c r="I243" s="164"/>
      <c r="J243" s="219"/>
      <c r="K243" s="217"/>
      <c r="L243" s="167"/>
      <c r="M243" s="202"/>
      <c r="N243" s="251"/>
      <c r="O243" s="203"/>
      <c r="P243" s="251"/>
      <c r="Q243" s="201">
        <v>400000</v>
      </c>
      <c r="R243" s="523">
        <f>Q243*1.73</f>
        <v>692000</v>
      </c>
      <c r="S243" s="159">
        <f t="shared" si="3"/>
        <v>692000</v>
      </c>
      <c r="T243" s="391"/>
      <c r="U243" s="170"/>
    </row>
    <row r="244" spans="1:21" hidden="1" outlineLevel="2">
      <c r="A244" s="162"/>
      <c r="B244" s="171"/>
      <c r="C244" s="174" t="s">
        <v>484</v>
      </c>
      <c r="D244" s="340"/>
      <c r="E244" s="164"/>
      <c r="F244" s="165"/>
      <c r="G244" s="172"/>
      <c r="H244" s="164"/>
      <c r="I244" s="164"/>
      <c r="J244" s="219"/>
      <c r="K244" s="217"/>
      <c r="L244" s="167"/>
      <c r="M244" s="202"/>
      <c r="N244" s="251"/>
      <c r="O244" s="203"/>
      <c r="P244" s="251"/>
      <c r="Q244" s="201"/>
      <c r="R244" s="523"/>
      <c r="S244" s="159"/>
      <c r="T244" s="391"/>
      <c r="U244" s="170"/>
    </row>
    <row r="245" spans="1:21" hidden="1" outlineLevel="2">
      <c r="A245" s="162"/>
      <c r="B245" s="171"/>
      <c r="C245" s="174" t="s">
        <v>479</v>
      </c>
      <c r="D245" s="340"/>
      <c r="E245" s="164"/>
      <c r="F245" s="165"/>
      <c r="G245" s="172"/>
      <c r="H245" s="164"/>
      <c r="I245" s="164"/>
      <c r="J245" s="219"/>
      <c r="K245" s="217"/>
      <c r="L245" s="167"/>
      <c r="M245" s="202"/>
      <c r="N245" s="251"/>
      <c r="O245" s="203"/>
      <c r="P245" s="251"/>
      <c r="Q245" s="201"/>
      <c r="R245" s="523"/>
      <c r="S245" s="159"/>
      <c r="T245" s="391"/>
      <c r="U245" s="170"/>
    </row>
    <row r="246" spans="1:21" hidden="1" outlineLevel="2">
      <c r="A246" s="162"/>
      <c r="B246" s="171"/>
      <c r="C246" s="174" t="s">
        <v>485</v>
      </c>
      <c r="D246" s="340"/>
      <c r="E246" s="164"/>
      <c r="F246" s="165"/>
      <c r="G246" s="172"/>
      <c r="H246" s="164"/>
      <c r="I246" s="164"/>
      <c r="J246" s="219"/>
      <c r="K246" s="217"/>
      <c r="L246" s="167"/>
      <c r="M246" s="202"/>
      <c r="N246" s="251"/>
      <c r="O246" s="203"/>
      <c r="P246" s="251"/>
      <c r="Q246" s="201" t="s">
        <v>514</v>
      </c>
      <c r="R246" s="523"/>
      <c r="S246" s="159"/>
      <c r="T246" s="391"/>
      <c r="U246" s="170"/>
    </row>
    <row r="247" spans="1:21" hidden="1" outlineLevel="2">
      <c r="A247" s="162"/>
      <c r="B247" s="171"/>
      <c r="C247" s="151" t="s">
        <v>505</v>
      </c>
      <c r="D247" s="339"/>
      <c r="E247" s="164"/>
      <c r="F247" s="165"/>
      <c r="G247" s="172"/>
      <c r="H247" s="164"/>
      <c r="I247" s="164"/>
      <c r="J247" s="219"/>
      <c r="K247" s="217"/>
      <c r="L247" s="167"/>
      <c r="M247" s="202"/>
      <c r="N247" s="251"/>
      <c r="O247" s="203"/>
      <c r="P247" s="251"/>
      <c r="Q247" s="201"/>
      <c r="R247" s="523"/>
      <c r="S247" s="159"/>
      <c r="T247" s="391"/>
      <c r="U247" s="170"/>
    </row>
    <row r="248" spans="1:21" hidden="1" outlineLevel="2">
      <c r="A248" s="162"/>
      <c r="B248" s="171"/>
      <c r="C248" s="174" t="s">
        <v>487</v>
      </c>
      <c r="D248" s="340"/>
      <c r="E248" s="164"/>
      <c r="F248" s="165"/>
      <c r="G248" s="172"/>
      <c r="H248" s="164"/>
      <c r="I248" s="164"/>
      <c r="J248" s="219"/>
      <c r="K248" s="217"/>
      <c r="L248" s="167"/>
      <c r="M248" s="202"/>
      <c r="N248" s="251"/>
      <c r="O248" s="203"/>
      <c r="P248" s="251"/>
      <c r="Q248" s="201"/>
      <c r="R248" s="523"/>
      <c r="S248" s="159"/>
      <c r="T248" s="391"/>
      <c r="U248" s="170"/>
    </row>
    <row r="249" spans="1:21" hidden="1" outlineLevel="2">
      <c r="A249" s="162"/>
      <c r="B249" s="171"/>
      <c r="C249" s="174" t="s">
        <v>479</v>
      </c>
      <c r="D249" s="340"/>
      <c r="E249" s="164"/>
      <c r="F249" s="165"/>
      <c r="G249" s="172"/>
      <c r="H249" s="164"/>
      <c r="I249" s="164"/>
      <c r="J249" s="219"/>
      <c r="K249" s="217"/>
      <c r="L249" s="167"/>
      <c r="M249" s="202"/>
      <c r="N249" s="251"/>
      <c r="O249" s="203"/>
      <c r="P249" s="251"/>
      <c r="Q249" s="201"/>
      <c r="R249" s="523"/>
      <c r="S249" s="159"/>
      <c r="T249" s="391"/>
      <c r="U249" s="170"/>
    </row>
    <row r="250" spans="1:21" hidden="1" outlineLevel="2">
      <c r="A250" s="162"/>
      <c r="B250" s="171"/>
      <c r="C250" s="174" t="s">
        <v>488</v>
      </c>
      <c r="D250" s="340"/>
      <c r="E250" s="164"/>
      <c r="F250" s="165"/>
      <c r="G250" s="172"/>
      <c r="H250" s="164"/>
      <c r="I250" s="164"/>
      <c r="J250" s="219"/>
      <c r="K250" s="217"/>
      <c r="L250" s="167"/>
      <c r="M250" s="202"/>
      <c r="N250" s="251"/>
      <c r="O250" s="203"/>
      <c r="P250" s="251"/>
      <c r="Q250" s="201"/>
      <c r="R250" s="523"/>
      <c r="S250" s="159"/>
      <c r="T250" s="391"/>
      <c r="U250" s="170"/>
    </row>
    <row r="251" spans="1:21" hidden="1" outlineLevel="2">
      <c r="A251" s="162"/>
      <c r="B251" s="171"/>
      <c r="C251" s="174" t="s">
        <v>489</v>
      </c>
      <c r="D251" s="340"/>
      <c r="E251" s="164"/>
      <c r="F251" s="165"/>
      <c r="G251" s="172"/>
      <c r="H251" s="164"/>
      <c r="I251" s="164"/>
      <c r="J251" s="219"/>
      <c r="K251" s="217"/>
      <c r="L251" s="167"/>
      <c r="M251" s="202"/>
      <c r="N251" s="251"/>
      <c r="O251" s="203"/>
      <c r="P251" s="251"/>
      <c r="Q251" s="201"/>
      <c r="R251" s="523"/>
      <c r="S251" s="159"/>
      <c r="T251" s="391"/>
      <c r="U251" s="170"/>
    </row>
    <row r="252" spans="1:21" hidden="1" outlineLevel="2">
      <c r="A252" s="162"/>
      <c r="B252" s="171"/>
      <c r="C252" s="151" t="s">
        <v>506</v>
      </c>
      <c r="D252" s="339"/>
      <c r="E252" s="164"/>
      <c r="F252" s="165"/>
      <c r="G252" s="172"/>
      <c r="H252" s="164"/>
      <c r="I252" s="164"/>
      <c r="J252" s="219"/>
      <c r="K252" s="217"/>
      <c r="L252" s="167"/>
      <c r="M252" s="202"/>
      <c r="N252" s="251"/>
      <c r="O252" s="203"/>
      <c r="P252" s="251"/>
      <c r="Q252" s="201"/>
      <c r="R252" s="523"/>
      <c r="S252" s="159"/>
      <c r="T252" s="391"/>
      <c r="U252" s="170"/>
    </row>
    <row r="253" spans="1:21" hidden="1" outlineLevel="2">
      <c r="A253" s="162"/>
      <c r="B253" s="171"/>
      <c r="C253" s="174" t="s">
        <v>491</v>
      </c>
      <c r="D253" s="340"/>
      <c r="E253" s="164"/>
      <c r="F253" s="165"/>
      <c r="G253" s="172"/>
      <c r="H253" s="164"/>
      <c r="I253" s="164"/>
      <c r="J253" s="219"/>
      <c r="K253" s="217"/>
      <c r="L253" s="167"/>
      <c r="M253" s="202"/>
      <c r="N253" s="251"/>
      <c r="O253" s="203"/>
      <c r="P253" s="251"/>
      <c r="Q253" s="201">
        <v>500000</v>
      </c>
      <c r="R253" s="523">
        <f t="shared" ref="R253:R262" si="4">Q253*1.73</f>
        <v>865000</v>
      </c>
      <c r="S253" s="159">
        <f t="shared" si="3"/>
        <v>865000</v>
      </c>
      <c r="T253" s="391"/>
      <c r="U253" s="170"/>
    </row>
    <row r="254" spans="1:21" hidden="1" outlineLevel="2">
      <c r="A254" s="162"/>
      <c r="B254" s="171"/>
      <c r="C254" s="174" t="s">
        <v>492</v>
      </c>
      <c r="D254" s="340"/>
      <c r="E254" s="164"/>
      <c r="F254" s="165"/>
      <c r="G254" s="172"/>
      <c r="H254" s="164"/>
      <c r="I254" s="164"/>
      <c r="J254" s="219"/>
      <c r="K254" s="217"/>
      <c r="L254" s="167"/>
      <c r="M254" s="202"/>
      <c r="N254" s="251"/>
      <c r="O254" s="203"/>
      <c r="P254" s="251"/>
      <c r="Q254" s="201"/>
      <c r="R254" s="523"/>
      <c r="S254" s="159"/>
      <c r="T254" s="391"/>
      <c r="U254" s="170"/>
    </row>
    <row r="255" spans="1:21" hidden="1" outlineLevel="2">
      <c r="A255" s="162"/>
      <c r="B255" s="171"/>
      <c r="C255" s="174" t="s">
        <v>493</v>
      </c>
      <c r="D255" s="340"/>
      <c r="E255" s="164"/>
      <c r="F255" s="165"/>
      <c r="G255" s="172"/>
      <c r="H255" s="164"/>
      <c r="I255" s="164"/>
      <c r="J255" s="219"/>
      <c r="K255" s="217"/>
      <c r="L255" s="167"/>
      <c r="M255" s="202">
        <v>1125000</v>
      </c>
      <c r="N255" s="251">
        <f>M255*1.23</f>
        <v>1383750</v>
      </c>
      <c r="O255" s="203"/>
      <c r="P255" s="251"/>
      <c r="Q255" s="201"/>
      <c r="R255" s="523"/>
      <c r="S255" s="159">
        <f t="shared" si="3"/>
        <v>1383750</v>
      </c>
      <c r="T255" s="391"/>
      <c r="U255" s="390" t="s">
        <v>540</v>
      </c>
    </row>
    <row r="256" spans="1:21" hidden="1" outlineLevel="2">
      <c r="A256" s="162"/>
      <c r="B256" s="171"/>
      <c r="C256" s="174" t="s">
        <v>494</v>
      </c>
      <c r="D256" s="340"/>
      <c r="E256" s="164"/>
      <c r="F256" s="165"/>
      <c r="G256" s="172"/>
      <c r="H256" s="164"/>
      <c r="I256" s="164"/>
      <c r="J256" s="219"/>
      <c r="K256" s="217"/>
      <c r="L256" s="167"/>
      <c r="M256" s="202"/>
      <c r="N256" s="251"/>
      <c r="O256" s="203"/>
      <c r="P256" s="251"/>
      <c r="Q256" s="201"/>
      <c r="R256" s="523"/>
      <c r="S256" s="159"/>
      <c r="T256" s="391"/>
      <c r="U256" s="170"/>
    </row>
    <row r="257" spans="1:21" hidden="1" outlineLevel="2">
      <c r="A257" s="162"/>
      <c r="B257" s="171"/>
      <c r="C257" s="151" t="s">
        <v>507</v>
      </c>
      <c r="D257" s="339"/>
      <c r="E257" s="164"/>
      <c r="F257" s="165"/>
      <c r="G257" s="172"/>
      <c r="H257" s="164"/>
      <c r="I257" s="164"/>
      <c r="J257" s="219"/>
      <c r="K257" s="217"/>
      <c r="L257" s="167"/>
      <c r="M257" s="202"/>
      <c r="N257" s="251"/>
      <c r="O257" s="203"/>
      <c r="P257" s="251"/>
      <c r="Q257" s="201"/>
      <c r="R257" s="523"/>
      <c r="S257" s="159"/>
      <c r="T257" s="391"/>
      <c r="U257" s="170"/>
    </row>
    <row r="258" spans="1:21" hidden="1" outlineLevel="2">
      <c r="A258" s="162"/>
      <c r="B258" s="171"/>
      <c r="C258" s="174" t="s">
        <v>496</v>
      </c>
      <c r="D258" s="340"/>
      <c r="E258" s="164"/>
      <c r="F258" s="165"/>
      <c r="G258" s="172"/>
      <c r="H258" s="164"/>
      <c r="I258" s="164"/>
      <c r="J258" s="219"/>
      <c r="K258" s="217"/>
      <c r="L258" s="167"/>
      <c r="M258" s="202">
        <v>350000</v>
      </c>
      <c r="N258" s="251">
        <f>M258*1.23</f>
        <v>430500</v>
      </c>
      <c r="O258" s="203"/>
      <c r="P258" s="251"/>
      <c r="Q258" s="201"/>
      <c r="R258" s="523"/>
      <c r="S258" s="159">
        <f t="shared" si="3"/>
        <v>430500</v>
      </c>
      <c r="T258" s="391"/>
      <c r="U258" s="170"/>
    </row>
    <row r="259" spans="1:21" hidden="1" outlineLevel="2">
      <c r="A259" s="162"/>
      <c r="B259" s="171"/>
      <c r="C259" s="174" t="s">
        <v>497</v>
      </c>
      <c r="D259" s="340"/>
      <c r="E259" s="164"/>
      <c r="F259" s="165"/>
      <c r="G259" s="172"/>
      <c r="H259" s="164"/>
      <c r="I259" s="164"/>
      <c r="J259" s="219"/>
      <c r="K259" s="217"/>
      <c r="L259" s="167"/>
      <c r="M259" s="202" t="s">
        <v>514</v>
      </c>
      <c r="N259" s="251"/>
      <c r="O259" s="203"/>
      <c r="P259" s="251"/>
      <c r="Q259" s="201"/>
      <c r="R259" s="523"/>
      <c r="S259" s="159"/>
      <c r="T259" s="391"/>
      <c r="U259" s="170"/>
    </row>
    <row r="260" spans="1:21" hidden="1" outlineLevel="2">
      <c r="A260" s="162"/>
      <c r="B260" s="171"/>
      <c r="C260" s="174" t="s">
        <v>499</v>
      </c>
      <c r="D260" s="340"/>
      <c r="E260" s="164"/>
      <c r="F260" s="165"/>
      <c r="G260" s="172"/>
      <c r="H260" s="164"/>
      <c r="I260" s="164"/>
      <c r="J260" s="219"/>
      <c r="K260" s="217"/>
      <c r="L260" s="167"/>
      <c r="M260" s="202"/>
      <c r="N260" s="251"/>
      <c r="O260" s="203"/>
      <c r="P260" s="251"/>
      <c r="Q260" s="201"/>
      <c r="R260" s="523"/>
      <c r="S260" s="159"/>
      <c r="T260" s="391"/>
      <c r="U260" s="170"/>
    </row>
    <row r="261" spans="1:21" hidden="1" outlineLevel="2">
      <c r="A261" s="162"/>
      <c r="B261" s="171"/>
      <c r="C261" s="174" t="s">
        <v>526</v>
      </c>
      <c r="D261" s="340"/>
      <c r="E261" s="164"/>
      <c r="F261" s="165"/>
      <c r="G261" s="172"/>
      <c r="H261" s="164"/>
      <c r="I261" s="164"/>
      <c r="J261" s="219"/>
      <c r="K261" s="217"/>
      <c r="L261" s="167"/>
      <c r="M261" s="202">
        <v>500000</v>
      </c>
      <c r="N261" s="251">
        <f>M261*1.23</f>
        <v>615000</v>
      </c>
      <c r="O261" s="203"/>
      <c r="P261" s="251"/>
      <c r="Q261" s="201"/>
      <c r="R261" s="523"/>
      <c r="S261" s="159">
        <f t="shared" si="3"/>
        <v>615000</v>
      </c>
      <c r="T261" s="391"/>
      <c r="U261" s="170"/>
    </row>
    <row r="262" spans="1:21" s="135" customFormat="1" hidden="1" outlineLevel="1" collapsed="1">
      <c r="A262" s="229"/>
      <c r="B262" s="151"/>
      <c r="C262" s="151" t="s">
        <v>538</v>
      </c>
      <c r="D262" s="339"/>
      <c r="E262" s="244"/>
      <c r="F262" s="248"/>
      <c r="G262" s="249"/>
      <c r="H262" s="244"/>
      <c r="I262" s="244"/>
      <c r="J262" s="251" t="e">
        <f>SUM(J237:J261)</f>
        <v>#REF!</v>
      </c>
      <c r="K262" s="252"/>
      <c r="L262" s="226" t="e">
        <f>SUM(L237:L261)</f>
        <v>#REF!</v>
      </c>
      <c r="M262" s="202">
        <f>SUM(M237:M261)</f>
        <v>2475000</v>
      </c>
      <c r="N262" s="251">
        <f>M262*1.23</f>
        <v>3044250</v>
      </c>
      <c r="O262" s="203">
        <f>SUM(O236:O261)</f>
        <v>3000000</v>
      </c>
      <c r="P262" s="251">
        <f>O262*1.46</f>
        <v>4380000</v>
      </c>
      <c r="Q262" s="201">
        <f>SUM(Q237:Q261)</f>
        <v>900000</v>
      </c>
      <c r="R262" s="523">
        <f t="shared" si="4"/>
        <v>1557000</v>
      </c>
      <c r="S262" s="159" t="e">
        <f t="shared" si="3"/>
        <v>#REF!</v>
      </c>
      <c r="T262" s="391" t="s">
        <v>360</v>
      </c>
      <c r="U262" s="542"/>
    </row>
    <row r="263" spans="1:21" hidden="1" outlineLevel="2">
      <c r="A263" s="162"/>
      <c r="B263" s="151" t="s">
        <v>1089</v>
      </c>
      <c r="C263" s="171"/>
      <c r="D263" s="345"/>
      <c r="E263" s="164"/>
      <c r="F263" s="165"/>
      <c r="G263" s="172"/>
      <c r="H263" s="164"/>
      <c r="I263" s="164"/>
      <c r="J263" s="217"/>
      <c r="K263" s="222"/>
      <c r="L263" s="167"/>
      <c r="M263" s="205"/>
      <c r="N263" s="525"/>
      <c r="O263" s="202"/>
      <c r="P263" s="251"/>
      <c r="Q263" s="201"/>
      <c r="R263" s="523"/>
      <c r="S263" s="159"/>
      <c r="T263" s="391"/>
      <c r="U263" s="170"/>
    </row>
    <row r="264" spans="1:21" hidden="1" outlineLevel="2">
      <c r="A264" s="162"/>
      <c r="B264" s="171"/>
      <c r="C264" s="151" t="s">
        <v>503</v>
      </c>
      <c r="D264" s="339"/>
      <c r="E264" s="164"/>
      <c r="F264" s="165"/>
      <c r="G264" s="172"/>
      <c r="H264" s="164"/>
      <c r="I264" s="164"/>
      <c r="J264" s="217"/>
      <c r="K264" s="218"/>
      <c r="L264" s="167"/>
      <c r="M264" s="203"/>
      <c r="N264" s="525"/>
      <c r="O264" s="203"/>
      <c r="P264" s="251"/>
      <c r="Q264" s="201"/>
      <c r="R264" s="523"/>
      <c r="S264" s="159"/>
      <c r="T264" s="391"/>
      <c r="U264" s="161"/>
    </row>
    <row r="265" spans="1:21" hidden="1" outlineLevel="2">
      <c r="A265" s="162"/>
      <c r="B265" s="171"/>
      <c r="C265" s="174" t="s">
        <v>510</v>
      </c>
      <c r="D265" s="340"/>
      <c r="E265" s="164"/>
      <c r="F265" s="165"/>
      <c r="G265" s="172"/>
      <c r="H265" s="164">
        <f>CIP!$AS$38</f>
        <v>0</v>
      </c>
      <c r="I265" s="217"/>
      <c r="J265" s="219"/>
      <c r="K265" s="218"/>
      <c r="L265" s="167">
        <f>SUM(G265:K265)</f>
        <v>0</v>
      </c>
      <c r="M265" s="201">
        <v>750000</v>
      </c>
      <c r="N265" s="251">
        <f>M265*1.23</f>
        <v>922500</v>
      </c>
      <c r="O265" s="201"/>
      <c r="P265" s="251"/>
      <c r="Q265" s="201"/>
      <c r="R265" s="523"/>
      <c r="S265" s="159">
        <f t="shared" ref="S265:S292" si="5">SUM(L265,N265,P265,R265)</f>
        <v>922500</v>
      </c>
      <c r="T265" s="391"/>
      <c r="U265" s="393" t="s">
        <v>1107</v>
      </c>
    </row>
    <row r="266" spans="1:21" hidden="1" outlineLevel="2">
      <c r="A266" s="162"/>
      <c r="B266" s="171"/>
      <c r="C266" s="174" t="s">
        <v>478</v>
      </c>
      <c r="D266" s="340"/>
      <c r="E266" s="164"/>
      <c r="F266" s="165"/>
      <c r="G266" s="172"/>
      <c r="H266" s="164"/>
      <c r="I266" s="164"/>
      <c r="J266" s="217"/>
      <c r="K266" s="218"/>
      <c r="L266" s="167" t="s">
        <v>514</v>
      </c>
      <c r="M266" s="203"/>
      <c r="N266" s="525"/>
      <c r="O266" s="203"/>
      <c r="P266" s="251"/>
      <c r="Q266" s="201"/>
      <c r="R266" s="523"/>
      <c r="S266" s="159"/>
      <c r="T266" s="391"/>
      <c r="U266" s="161"/>
    </row>
    <row r="267" spans="1:21" hidden="1" outlineLevel="2">
      <c r="A267" s="162"/>
      <c r="B267" s="171"/>
      <c r="C267" s="174" t="s">
        <v>479</v>
      </c>
      <c r="D267" s="340"/>
      <c r="E267" s="164"/>
      <c r="F267" s="165"/>
      <c r="G267" s="172"/>
      <c r="H267" s="164"/>
      <c r="I267" s="164"/>
      <c r="J267" s="217"/>
      <c r="K267" s="218"/>
      <c r="L267" s="220"/>
      <c r="M267" s="203">
        <v>200000</v>
      </c>
      <c r="N267" s="251">
        <f>M267*1.23</f>
        <v>246000</v>
      </c>
      <c r="O267" s="203"/>
      <c r="P267" s="251"/>
      <c r="Q267" s="201"/>
      <c r="R267" s="523"/>
      <c r="S267" s="159">
        <f t="shared" si="5"/>
        <v>246000</v>
      </c>
      <c r="T267" s="391"/>
      <c r="U267" s="161" t="s">
        <v>534</v>
      </c>
    </row>
    <row r="268" spans="1:21" hidden="1" outlineLevel="2">
      <c r="A268" s="162"/>
      <c r="B268" s="171"/>
      <c r="C268" s="174" t="s">
        <v>480</v>
      </c>
      <c r="D268" s="340"/>
      <c r="E268" s="164"/>
      <c r="F268" s="165"/>
      <c r="G268" s="172"/>
      <c r="H268" s="164"/>
      <c r="I268" s="164"/>
      <c r="J268" s="217"/>
      <c r="K268" s="218"/>
      <c r="L268" s="167"/>
      <c r="M268" s="203">
        <v>200000</v>
      </c>
      <c r="N268" s="251">
        <f>M268*1.23</f>
        <v>246000</v>
      </c>
      <c r="O268" s="203"/>
      <c r="P268" s="251"/>
      <c r="Q268" s="201"/>
      <c r="R268" s="523"/>
      <c r="S268" s="159">
        <f t="shared" si="5"/>
        <v>246000</v>
      </c>
      <c r="T268" s="391"/>
      <c r="U268" s="161"/>
    </row>
    <row r="269" spans="1:21" hidden="1" outlineLevel="2">
      <c r="A269" s="162"/>
      <c r="B269" s="171"/>
      <c r="C269" s="174" t="s">
        <v>481</v>
      </c>
      <c r="D269" s="340"/>
      <c r="E269" s="164"/>
      <c r="F269" s="165"/>
      <c r="G269" s="172"/>
      <c r="H269" s="164"/>
      <c r="I269" s="219"/>
      <c r="J269" s="221"/>
      <c r="K269" s="218"/>
      <c r="L269" s="167"/>
      <c r="M269" s="203"/>
      <c r="N269" s="525"/>
      <c r="O269" s="203"/>
      <c r="P269" s="251"/>
      <c r="Q269" s="201"/>
      <c r="R269" s="523"/>
      <c r="S269" s="159"/>
      <c r="T269" s="391"/>
      <c r="U269" s="161" t="s">
        <v>1144</v>
      </c>
    </row>
    <row r="270" spans="1:21" hidden="1" outlineLevel="2">
      <c r="A270" s="162"/>
      <c r="B270" s="171"/>
      <c r="C270" s="151" t="s">
        <v>504</v>
      </c>
      <c r="D270" s="339"/>
      <c r="E270" s="164"/>
      <c r="F270" s="165"/>
      <c r="G270" s="172"/>
      <c r="H270" s="164"/>
      <c r="I270" s="164"/>
      <c r="J270" s="217"/>
      <c r="K270" s="218"/>
      <c r="L270" s="167"/>
      <c r="M270" s="202"/>
      <c r="N270" s="525"/>
      <c r="O270" s="202"/>
      <c r="P270" s="251"/>
      <c r="Q270" s="201"/>
      <c r="R270" s="523"/>
      <c r="S270" s="159"/>
      <c r="T270" s="391"/>
      <c r="U270" s="161"/>
    </row>
    <row r="271" spans="1:21" hidden="1" outlineLevel="2">
      <c r="A271" s="162"/>
      <c r="B271" s="171"/>
      <c r="C271" s="174" t="s">
        <v>483</v>
      </c>
      <c r="D271" s="340"/>
      <c r="E271" s="164"/>
      <c r="F271" s="165"/>
      <c r="G271" s="172"/>
      <c r="H271" s="164"/>
      <c r="I271" s="164"/>
      <c r="J271" s="217"/>
      <c r="K271" s="218"/>
      <c r="L271" s="167"/>
      <c r="M271" s="202"/>
      <c r="N271" s="525"/>
      <c r="O271" s="202"/>
      <c r="P271" s="251"/>
      <c r="Q271" s="201"/>
      <c r="R271" s="523"/>
      <c r="S271" s="159"/>
      <c r="T271" s="391"/>
      <c r="U271" s="161"/>
    </row>
    <row r="272" spans="1:21" hidden="1" outlineLevel="2">
      <c r="A272" s="162"/>
      <c r="B272" s="171"/>
      <c r="C272" s="174" t="s">
        <v>484</v>
      </c>
      <c r="D272" s="340"/>
      <c r="E272" s="164"/>
      <c r="F272" s="165"/>
      <c r="G272" s="172"/>
      <c r="H272" s="164"/>
      <c r="I272" s="164"/>
      <c r="J272" s="217"/>
      <c r="K272" s="218"/>
      <c r="L272" s="167"/>
      <c r="M272" s="202">
        <v>75000</v>
      </c>
      <c r="N272" s="251">
        <f>M272*1.23</f>
        <v>92250</v>
      </c>
      <c r="O272" s="202"/>
      <c r="P272" s="251"/>
      <c r="Q272" s="201"/>
      <c r="R272" s="523"/>
      <c r="S272" s="159">
        <f t="shared" si="5"/>
        <v>92250</v>
      </c>
      <c r="T272" s="391"/>
      <c r="U272" s="161"/>
    </row>
    <row r="273" spans="1:21" hidden="1" outlineLevel="2">
      <c r="A273" s="162"/>
      <c r="B273" s="171"/>
      <c r="C273" s="174" t="s">
        <v>479</v>
      </c>
      <c r="D273" s="340"/>
      <c r="E273" s="164"/>
      <c r="F273" s="165"/>
      <c r="G273" s="172"/>
      <c r="H273" s="164"/>
      <c r="I273" s="164"/>
      <c r="J273" s="217"/>
      <c r="K273" s="218"/>
      <c r="L273" s="167"/>
      <c r="M273" s="202"/>
      <c r="N273" s="525"/>
      <c r="O273" s="202"/>
      <c r="P273" s="251"/>
      <c r="Q273" s="201"/>
      <c r="R273" s="523"/>
      <c r="S273" s="159"/>
      <c r="T273" s="391"/>
      <c r="U273" s="161"/>
    </row>
    <row r="274" spans="1:21" hidden="1" outlineLevel="2">
      <c r="A274" s="162"/>
      <c r="B274" s="171"/>
      <c r="C274" s="174" t="s">
        <v>485</v>
      </c>
      <c r="D274" s="340"/>
      <c r="E274" s="164"/>
      <c r="F274" s="165"/>
      <c r="G274" s="172"/>
      <c r="H274" s="164"/>
      <c r="I274" s="164"/>
      <c r="J274" s="217"/>
      <c r="K274" s="218"/>
      <c r="L274" s="167"/>
      <c r="M274" s="202"/>
      <c r="N274" s="525"/>
      <c r="O274" s="202"/>
      <c r="P274" s="251"/>
      <c r="Q274" s="201"/>
      <c r="R274" s="523"/>
      <c r="S274" s="159"/>
      <c r="T274" s="391"/>
      <c r="U274" s="161" t="s">
        <v>535</v>
      </c>
    </row>
    <row r="275" spans="1:21" hidden="1" outlineLevel="2">
      <c r="A275" s="162"/>
      <c r="B275" s="171"/>
      <c r="C275" s="151" t="s">
        <v>505</v>
      </c>
      <c r="D275" s="339"/>
      <c r="E275" s="164"/>
      <c r="F275" s="165"/>
      <c r="G275" s="172"/>
      <c r="H275" s="164"/>
      <c r="I275" s="164"/>
      <c r="J275" s="217"/>
      <c r="K275" s="218"/>
      <c r="L275" s="167"/>
      <c r="M275" s="202"/>
      <c r="N275" s="525"/>
      <c r="O275" s="202"/>
      <c r="P275" s="251"/>
      <c r="Q275" s="201"/>
      <c r="R275" s="523"/>
      <c r="S275" s="159"/>
      <c r="T275" s="391"/>
      <c r="U275" s="170"/>
    </row>
    <row r="276" spans="1:21" hidden="1" outlineLevel="2">
      <c r="A276" s="162"/>
      <c r="B276" s="171"/>
      <c r="C276" s="174" t="s">
        <v>487</v>
      </c>
      <c r="D276" s="340"/>
      <c r="E276" s="164"/>
      <c r="F276" s="165"/>
      <c r="G276" s="172"/>
      <c r="H276" s="164"/>
      <c r="I276" s="164"/>
      <c r="J276" s="217"/>
      <c r="K276" s="218"/>
      <c r="L276" s="167"/>
      <c r="M276" s="202"/>
      <c r="N276" s="525"/>
      <c r="O276" s="202"/>
      <c r="P276" s="251"/>
      <c r="Q276" s="201"/>
      <c r="R276" s="523"/>
      <c r="S276" s="159"/>
      <c r="T276" s="391"/>
      <c r="U276" s="170"/>
    </row>
    <row r="277" spans="1:21" hidden="1" outlineLevel="2">
      <c r="A277" s="162"/>
      <c r="B277" s="171"/>
      <c r="C277" s="174" t="s">
        <v>479</v>
      </c>
      <c r="D277" s="340"/>
      <c r="E277" s="164"/>
      <c r="F277" s="165"/>
      <c r="G277" s="172"/>
      <c r="H277" s="164"/>
      <c r="I277" s="164"/>
      <c r="J277" s="217"/>
      <c r="K277" s="218"/>
      <c r="L277" s="167"/>
      <c r="M277" s="202">
        <v>125000</v>
      </c>
      <c r="N277" s="251">
        <f>M277*1.23</f>
        <v>153750</v>
      </c>
      <c r="O277" s="202"/>
      <c r="P277" s="251"/>
      <c r="Q277" s="201"/>
      <c r="R277" s="523"/>
      <c r="S277" s="159">
        <f t="shared" si="5"/>
        <v>153750</v>
      </c>
      <c r="T277" s="391"/>
      <c r="U277" s="170"/>
    </row>
    <row r="278" spans="1:21" hidden="1" outlineLevel="2">
      <c r="A278" s="162"/>
      <c r="B278" s="171"/>
      <c r="C278" s="174" t="s">
        <v>488</v>
      </c>
      <c r="D278" s="340"/>
      <c r="E278" s="164"/>
      <c r="F278" s="165"/>
      <c r="G278" s="172"/>
      <c r="H278" s="164"/>
      <c r="I278" s="164"/>
      <c r="J278" s="217"/>
      <c r="K278" s="218"/>
      <c r="L278" s="167"/>
      <c r="M278" s="202"/>
      <c r="N278" s="525"/>
      <c r="O278" s="202"/>
      <c r="P278" s="251"/>
      <c r="Q278" s="201"/>
      <c r="R278" s="523"/>
      <c r="S278" s="159"/>
      <c r="T278" s="391"/>
      <c r="U278" s="170"/>
    </row>
    <row r="279" spans="1:21" hidden="1" outlineLevel="2">
      <c r="A279" s="162"/>
      <c r="B279" s="171"/>
      <c r="C279" s="174" t="s">
        <v>489</v>
      </c>
      <c r="D279" s="340"/>
      <c r="E279" s="164"/>
      <c r="F279" s="165"/>
      <c r="G279" s="172"/>
      <c r="H279" s="164"/>
      <c r="I279" s="164"/>
      <c r="J279" s="217"/>
      <c r="K279" s="222"/>
      <c r="L279" s="167"/>
      <c r="M279" s="202"/>
      <c r="N279" s="525"/>
      <c r="O279" s="202"/>
      <c r="P279" s="251"/>
      <c r="Q279" s="201"/>
      <c r="R279" s="523"/>
      <c r="S279" s="159"/>
      <c r="T279" s="391"/>
      <c r="U279" s="161"/>
    </row>
    <row r="280" spans="1:21" hidden="1" outlineLevel="2">
      <c r="A280" s="162"/>
      <c r="B280" s="171"/>
      <c r="C280" s="151" t="s">
        <v>506</v>
      </c>
      <c r="D280" s="339"/>
      <c r="E280" s="164"/>
      <c r="F280" s="165"/>
      <c r="G280" s="172"/>
      <c r="H280" s="164"/>
      <c r="I280" s="164"/>
      <c r="J280" s="217"/>
      <c r="K280" s="218"/>
      <c r="L280" s="167"/>
      <c r="M280" s="202"/>
      <c r="N280" s="525"/>
      <c r="O280" s="202"/>
      <c r="P280" s="251"/>
      <c r="Q280" s="201"/>
      <c r="R280" s="523"/>
      <c r="S280" s="159"/>
      <c r="T280" s="391"/>
      <c r="U280" s="161"/>
    </row>
    <row r="281" spans="1:21" hidden="1" outlineLevel="2">
      <c r="A281" s="162"/>
      <c r="B281" s="171"/>
      <c r="C281" s="174" t="s">
        <v>491</v>
      </c>
      <c r="D281" s="340"/>
      <c r="E281" s="164"/>
      <c r="F281" s="165"/>
      <c r="G281" s="172"/>
      <c r="H281" s="164"/>
      <c r="I281" s="164"/>
      <c r="J281" s="217"/>
      <c r="K281" s="218"/>
      <c r="L281" s="167"/>
      <c r="M281" s="202"/>
      <c r="N281" s="525"/>
      <c r="O281" s="202"/>
      <c r="P281" s="251"/>
      <c r="Q281" s="201"/>
      <c r="R281" s="523"/>
      <c r="S281" s="159"/>
      <c r="T281" s="391"/>
      <c r="U281" s="161"/>
    </row>
    <row r="282" spans="1:21" hidden="1" outlineLevel="2">
      <c r="A282" s="162"/>
      <c r="B282" s="171"/>
      <c r="C282" s="174" t="s">
        <v>492</v>
      </c>
      <c r="D282" s="340"/>
      <c r="E282" s="164"/>
      <c r="F282" s="165"/>
      <c r="G282" s="172"/>
      <c r="H282" s="164"/>
      <c r="I282" s="164"/>
      <c r="J282" s="217"/>
      <c r="K282" s="218"/>
      <c r="L282" s="167"/>
      <c r="M282" s="202"/>
      <c r="N282" s="525"/>
      <c r="O282" s="202"/>
      <c r="P282" s="251"/>
      <c r="Q282" s="201"/>
      <c r="R282" s="523"/>
      <c r="S282" s="159"/>
      <c r="T282" s="391"/>
      <c r="U282" s="170"/>
    </row>
    <row r="283" spans="1:21" hidden="1" outlineLevel="2">
      <c r="A283" s="162"/>
      <c r="B283" s="171"/>
      <c r="C283" s="174" t="s">
        <v>493</v>
      </c>
      <c r="D283" s="340"/>
      <c r="E283" s="164"/>
      <c r="F283" s="165"/>
      <c r="G283" s="172"/>
      <c r="H283" s="164"/>
      <c r="I283" s="164"/>
      <c r="J283" s="217"/>
      <c r="K283" s="218"/>
      <c r="L283" s="167"/>
      <c r="M283" s="202"/>
      <c r="N283" s="525"/>
      <c r="O283" s="202"/>
      <c r="P283" s="251"/>
      <c r="Q283" s="201"/>
      <c r="R283" s="523"/>
      <c r="S283" s="159"/>
      <c r="T283" s="391"/>
      <c r="U283" s="170"/>
    </row>
    <row r="284" spans="1:21" hidden="1" outlineLevel="2">
      <c r="A284" s="162"/>
      <c r="B284" s="171"/>
      <c r="C284" s="174" t="s">
        <v>494</v>
      </c>
      <c r="D284" s="340"/>
      <c r="E284" s="164"/>
      <c r="F284" s="165"/>
      <c r="G284" s="172"/>
      <c r="H284" s="164"/>
      <c r="I284" s="164"/>
      <c r="J284" s="219"/>
      <c r="K284" s="217"/>
      <c r="L284" s="167"/>
      <c r="M284" s="202"/>
      <c r="N284" s="525"/>
      <c r="O284" s="202"/>
      <c r="P284" s="251"/>
      <c r="Q284" s="201"/>
      <c r="R284" s="523"/>
      <c r="S284" s="159"/>
      <c r="T284" s="391"/>
      <c r="U284" s="170"/>
    </row>
    <row r="285" spans="1:21" hidden="1" outlineLevel="2">
      <c r="A285" s="162"/>
      <c r="B285" s="171"/>
      <c r="C285" s="151" t="s">
        <v>507</v>
      </c>
      <c r="D285" s="339"/>
      <c r="E285" s="164"/>
      <c r="F285" s="165"/>
      <c r="G285" s="172"/>
      <c r="H285" s="164"/>
      <c r="I285" s="164"/>
      <c r="J285" s="219"/>
      <c r="K285" s="217"/>
      <c r="L285" s="167"/>
      <c r="M285" s="202"/>
      <c r="N285" s="525"/>
      <c r="O285" s="202"/>
      <c r="P285" s="251"/>
      <c r="Q285" s="201"/>
      <c r="R285" s="523"/>
      <c r="S285" s="159"/>
      <c r="T285" s="391"/>
      <c r="U285" s="170"/>
    </row>
    <row r="286" spans="1:21" hidden="1" outlineLevel="2">
      <c r="A286" s="162"/>
      <c r="B286" s="171"/>
      <c r="C286" s="174" t="s">
        <v>496</v>
      </c>
      <c r="D286" s="340"/>
      <c r="E286" s="164"/>
      <c r="F286" s="165"/>
      <c r="G286" s="172"/>
      <c r="H286" s="164"/>
      <c r="I286" s="164"/>
      <c r="J286" s="219"/>
      <c r="K286" s="217"/>
      <c r="L286" s="167"/>
      <c r="M286" s="202"/>
      <c r="N286" s="525"/>
      <c r="O286" s="202"/>
      <c r="P286" s="251"/>
      <c r="Q286" s="201"/>
      <c r="R286" s="523"/>
      <c r="S286" s="159"/>
      <c r="T286" s="391"/>
      <c r="U286" s="170"/>
    </row>
    <row r="287" spans="1:21" hidden="1" outlineLevel="2">
      <c r="A287" s="162"/>
      <c r="B287" s="171"/>
      <c r="C287" s="174" t="s">
        <v>497</v>
      </c>
      <c r="D287" s="340"/>
      <c r="E287" s="164"/>
      <c r="F287" s="165"/>
      <c r="G287" s="172"/>
      <c r="H287" s="164"/>
      <c r="I287" s="164"/>
      <c r="J287" s="219"/>
      <c r="K287" s="217"/>
      <c r="L287" s="167"/>
      <c r="M287" s="202"/>
      <c r="N287" s="525"/>
      <c r="O287" s="202"/>
      <c r="P287" s="251"/>
      <c r="Q287" s="201"/>
      <c r="R287" s="523"/>
      <c r="S287" s="159"/>
      <c r="T287" s="391"/>
      <c r="U287" s="170"/>
    </row>
    <row r="288" spans="1:21" hidden="1" outlineLevel="2">
      <c r="A288" s="162"/>
      <c r="B288" s="171"/>
      <c r="C288" s="174" t="s">
        <v>499</v>
      </c>
      <c r="D288" s="340"/>
      <c r="E288" s="164"/>
      <c r="F288" s="165"/>
      <c r="G288" s="172"/>
      <c r="H288" s="164"/>
      <c r="I288" s="164"/>
      <c r="J288" s="219"/>
      <c r="K288" s="217"/>
      <c r="L288" s="167"/>
      <c r="M288" s="202"/>
      <c r="N288" s="525"/>
      <c r="O288" s="202"/>
      <c r="P288" s="251"/>
      <c r="Q288" s="201"/>
      <c r="R288" s="523"/>
      <c r="S288" s="159"/>
      <c r="T288" s="391"/>
      <c r="U288" s="170"/>
    </row>
    <row r="289" spans="1:21" hidden="1" outlineLevel="2">
      <c r="A289" s="162"/>
      <c r="B289" s="171"/>
      <c r="C289" s="174" t="s">
        <v>526</v>
      </c>
      <c r="D289" s="340"/>
      <c r="E289" s="164"/>
      <c r="F289" s="165"/>
      <c r="G289" s="172"/>
      <c r="H289" s="164"/>
      <c r="I289" s="164"/>
      <c r="J289" s="219"/>
      <c r="K289" s="217"/>
      <c r="L289" s="167"/>
      <c r="M289" s="202"/>
      <c r="N289" s="525"/>
      <c r="O289" s="202"/>
      <c r="P289" s="251"/>
      <c r="Q289" s="201"/>
      <c r="R289" s="523"/>
      <c r="S289" s="159"/>
      <c r="T289" s="391"/>
      <c r="U289" s="170"/>
    </row>
    <row r="290" spans="1:21" hidden="1" outlineLevel="2">
      <c r="A290" s="162"/>
      <c r="B290" s="171"/>
      <c r="C290" s="174" t="s">
        <v>536</v>
      </c>
      <c r="D290" s="340"/>
      <c r="E290" s="164"/>
      <c r="F290" s="165"/>
      <c r="G290" s="172"/>
      <c r="H290" s="164"/>
      <c r="I290" s="164"/>
      <c r="J290" s="219"/>
      <c r="K290" s="217"/>
      <c r="L290" s="167"/>
      <c r="M290" s="238">
        <v>15000000</v>
      </c>
      <c r="N290" s="251">
        <f>M290*1.23</f>
        <v>18450000</v>
      </c>
      <c r="O290" s="238"/>
      <c r="P290" s="251"/>
      <c r="Q290" s="201"/>
      <c r="R290" s="523"/>
      <c r="S290" s="159">
        <f t="shared" si="5"/>
        <v>18450000</v>
      </c>
      <c r="T290" s="391"/>
      <c r="U290" s="170" t="s">
        <v>1297</v>
      </c>
    </row>
    <row r="291" spans="1:21" hidden="1" outlineLevel="2">
      <c r="A291" s="162"/>
      <c r="B291" s="171"/>
      <c r="C291" s="151" t="s">
        <v>537</v>
      </c>
      <c r="D291" s="339"/>
      <c r="E291" s="164"/>
      <c r="F291" s="165"/>
      <c r="G291" s="172"/>
      <c r="H291" s="164"/>
      <c r="I291" s="164"/>
      <c r="J291" s="219"/>
      <c r="K291" s="217"/>
      <c r="L291" s="167"/>
      <c r="M291" s="202"/>
      <c r="N291" s="251"/>
      <c r="O291" s="202"/>
      <c r="P291" s="251"/>
      <c r="Q291" s="201"/>
      <c r="R291" s="523"/>
      <c r="S291" s="159"/>
      <c r="T291" s="391"/>
      <c r="U291" s="170"/>
    </row>
    <row r="292" spans="1:21" s="135" customFormat="1" hidden="1" outlineLevel="1" collapsed="1">
      <c r="A292" s="229"/>
      <c r="B292" s="151"/>
      <c r="C292" s="151" t="s">
        <v>1089</v>
      </c>
      <c r="D292" s="339"/>
      <c r="E292" s="244"/>
      <c r="F292" s="248"/>
      <c r="G292" s="249"/>
      <c r="H292" s="244">
        <f>SUM(H264:H291)</f>
        <v>0</v>
      </c>
      <c r="I292" s="244"/>
      <c r="J292" s="251"/>
      <c r="K292" s="252"/>
      <c r="L292" s="226">
        <f>SUM(G292:K292)</f>
        <v>0</v>
      </c>
      <c r="M292" s="202">
        <f>SUM(M264:M291)</f>
        <v>16350000</v>
      </c>
      <c r="N292" s="251">
        <f>M292*1.23</f>
        <v>20110500</v>
      </c>
      <c r="O292" s="202"/>
      <c r="P292" s="251"/>
      <c r="Q292" s="201"/>
      <c r="R292" s="523"/>
      <c r="S292" s="159">
        <f t="shared" si="5"/>
        <v>20110500</v>
      </c>
      <c r="T292" s="391" t="s">
        <v>360</v>
      </c>
      <c r="U292" s="170"/>
    </row>
    <row r="293" spans="1:21" hidden="1" outlineLevel="2">
      <c r="A293" s="162"/>
      <c r="B293" s="151" t="s">
        <v>544</v>
      </c>
      <c r="C293" s="171"/>
      <c r="D293" s="345"/>
      <c r="E293" s="164"/>
      <c r="F293" s="165"/>
      <c r="G293" s="172"/>
      <c r="H293" s="164"/>
      <c r="I293" s="164"/>
      <c r="J293" s="219"/>
      <c r="K293" s="217"/>
      <c r="L293" s="167"/>
      <c r="M293" s="202"/>
      <c r="N293" s="251"/>
      <c r="O293" s="203"/>
      <c r="P293" s="251"/>
      <c r="Q293" s="201"/>
      <c r="R293" s="523"/>
      <c r="S293" s="159"/>
      <c r="T293" s="391"/>
      <c r="U293" s="170"/>
    </row>
    <row r="294" spans="1:21" hidden="1" outlineLevel="2">
      <c r="A294" s="162"/>
      <c r="B294" s="171"/>
      <c r="C294" s="151" t="s">
        <v>503</v>
      </c>
      <c r="D294" s="339"/>
      <c r="E294" s="164"/>
      <c r="F294" s="165"/>
      <c r="G294" s="172"/>
      <c r="H294" s="164"/>
      <c r="I294" s="164"/>
      <c r="J294" s="219"/>
      <c r="K294" s="217"/>
      <c r="L294" s="167"/>
      <c r="M294" s="202"/>
      <c r="N294" s="251"/>
      <c r="O294" s="203"/>
      <c r="P294" s="251"/>
      <c r="Q294" s="201"/>
      <c r="R294" s="523"/>
      <c r="S294" s="159"/>
      <c r="T294" s="391"/>
      <c r="U294" s="170"/>
    </row>
    <row r="295" spans="1:21" hidden="1" outlineLevel="2">
      <c r="A295" s="162" t="s">
        <v>514</v>
      </c>
      <c r="B295" s="171"/>
      <c r="C295" s="174" t="s">
        <v>520</v>
      </c>
      <c r="D295" s="340"/>
      <c r="E295" s="164"/>
      <c r="F295" s="165"/>
      <c r="G295" s="172"/>
      <c r="H295" s="164"/>
      <c r="I295" s="164"/>
      <c r="J295" s="219"/>
      <c r="K295" s="217"/>
      <c r="L295" s="167"/>
      <c r="M295" s="202"/>
      <c r="N295" s="251"/>
      <c r="O295" s="203"/>
      <c r="P295" s="251"/>
      <c r="Q295" s="201"/>
      <c r="R295" s="523"/>
      <c r="S295" s="159"/>
      <c r="T295" s="391"/>
      <c r="U295" s="170"/>
    </row>
    <row r="296" spans="1:21" hidden="1" outlineLevel="2">
      <c r="A296" s="162"/>
      <c r="B296" s="171"/>
      <c r="C296" s="174" t="s">
        <v>478</v>
      </c>
      <c r="D296" s="340"/>
      <c r="E296" s="164"/>
      <c r="F296" s="165"/>
      <c r="G296" s="172"/>
      <c r="H296" s="164"/>
      <c r="I296" s="164"/>
      <c r="J296" s="219"/>
      <c r="K296" s="217"/>
      <c r="L296" s="167"/>
      <c r="M296" s="202">
        <v>250000</v>
      </c>
      <c r="N296" s="251">
        <f>M296*1.23</f>
        <v>307500</v>
      </c>
      <c r="O296" s="203"/>
      <c r="P296" s="251"/>
      <c r="Q296" s="201"/>
      <c r="R296" s="523"/>
      <c r="S296" s="159">
        <f t="shared" ref="S296:S321" si="6">SUM(L296,N296,P296,R296)</f>
        <v>307500</v>
      </c>
      <c r="T296" s="391"/>
      <c r="U296" s="170"/>
    </row>
    <row r="297" spans="1:21" hidden="1" outlineLevel="2">
      <c r="A297" s="162"/>
      <c r="B297" s="171"/>
      <c r="C297" s="174" t="s">
        <v>479</v>
      </c>
      <c r="D297" s="340"/>
      <c r="E297" s="164"/>
      <c r="F297" s="165"/>
      <c r="G297" s="172"/>
      <c r="H297" s="164"/>
      <c r="I297" s="164"/>
      <c r="J297" s="219"/>
      <c r="K297" s="217"/>
      <c r="L297" s="526"/>
      <c r="M297" s="202"/>
      <c r="N297" s="251"/>
      <c r="O297" s="203">
        <v>300000</v>
      </c>
      <c r="P297" s="251">
        <f>O297*1.46</f>
        <v>438000</v>
      </c>
      <c r="Q297" s="201"/>
      <c r="R297" s="523"/>
      <c r="S297" s="159">
        <f t="shared" si="6"/>
        <v>438000</v>
      </c>
      <c r="T297" s="391"/>
      <c r="U297" s="170"/>
    </row>
    <row r="298" spans="1:21" hidden="1" outlineLevel="2">
      <c r="A298" s="162"/>
      <c r="B298" s="171"/>
      <c r="C298" s="174" t="s">
        <v>480</v>
      </c>
      <c r="D298" s="340"/>
      <c r="E298" s="164"/>
      <c r="F298" s="165"/>
      <c r="G298" s="172"/>
      <c r="H298" s="164"/>
      <c r="I298" s="164"/>
      <c r="J298" s="219"/>
      <c r="K298" s="217"/>
      <c r="L298" s="167"/>
      <c r="M298" s="202"/>
      <c r="N298" s="251"/>
      <c r="O298" s="203">
        <v>150000</v>
      </c>
      <c r="P298" s="251">
        <f t="shared" ref="P298:P321" si="7">O298*1.46</f>
        <v>219000</v>
      </c>
      <c r="Q298" s="201"/>
      <c r="R298" s="523"/>
      <c r="S298" s="159">
        <f t="shared" si="6"/>
        <v>219000</v>
      </c>
      <c r="T298" s="391"/>
      <c r="U298" s="170" t="s">
        <v>514</v>
      </c>
    </row>
    <row r="299" spans="1:21" hidden="1" outlineLevel="2">
      <c r="A299" s="162"/>
      <c r="B299" s="171"/>
      <c r="C299" s="174" t="s">
        <v>545</v>
      </c>
      <c r="D299" s="340"/>
      <c r="E299" s="164"/>
      <c r="F299" s="165"/>
      <c r="G299" s="172"/>
      <c r="H299" s="164"/>
      <c r="I299" s="164"/>
      <c r="J299" s="219"/>
      <c r="K299" s="217"/>
      <c r="L299" s="167"/>
      <c r="M299" s="202"/>
      <c r="N299" s="251"/>
      <c r="O299" s="203"/>
      <c r="P299" s="251"/>
      <c r="Q299" s="201"/>
      <c r="R299" s="523"/>
      <c r="S299" s="159"/>
      <c r="T299" s="391"/>
      <c r="U299" s="170"/>
    </row>
    <row r="300" spans="1:21" hidden="1" outlineLevel="2">
      <c r="A300" s="162"/>
      <c r="B300" s="171"/>
      <c r="C300" s="151" t="s">
        <v>504</v>
      </c>
      <c r="D300" s="339"/>
      <c r="E300" s="164"/>
      <c r="F300" s="165"/>
      <c r="G300" s="172"/>
      <c r="H300" s="164"/>
      <c r="I300" s="164"/>
      <c r="J300" s="219"/>
      <c r="K300" s="217"/>
      <c r="L300" s="167"/>
      <c r="M300" s="202"/>
      <c r="N300" s="251"/>
      <c r="O300" s="203"/>
      <c r="P300" s="251"/>
      <c r="Q300" s="201"/>
      <c r="R300" s="523"/>
      <c r="S300" s="159"/>
      <c r="T300" s="391"/>
      <c r="U300" s="170"/>
    </row>
    <row r="301" spans="1:21" hidden="1" outlineLevel="2">
      <c r="A301" s="162"/>
      <c r="B301" s="171"/>
      <c r="C301" s="174" t="s">
        <v>483</v>
      </c>
      <c r="D301" s="340"/>
      <c r="E301" s="164"/>
      <c r="F301" s="165"/>
      <c r="G301" s="172"/>
      <c r="H301" s="164"/>
      <c r="I301" s="164"/>
      <c r="J301" s="219"/>
      <c r="K301" s="217"/>
      <c r="L301" s="167"/>
      <c r="M301" s="202"/>
      <c r="N301" s="251"/>
      <c r="O301" s="203"/>
      <c r="P301" s="251"/>
      <c r="Q301" s="201"/>
      <c r="R301" s="523"/>
      <c r="S301" s="159"/>
      <c r="T301" s="391"/>
      <c r="U301" s="170"/>
    </row>
    <row r="302" spans="1:21" hidden="1" outlineLevel="2">
      <c r="A302" s="162"/>
      <c r="B302" s="171"/>
      <c r="C302" s="174" t="s">
        <v>484</v>
      </c>
      <c r="D302" s="340"/>
      <c r="E302" s="164"/>
      <c r="F302" s="165"/>
      <c r="G302" s="172"/>
      <c r="H302" s="164"/>
      <c r="I302" s="164"/>
      <c r="J302" s="219"/>
      <c r="K302" s="217"/>
      <c r="L302" s="167"/>
      <c r="M302" s="202"/>
      <c r="N302" s="251"/>
      <c r="O302" s="203"/>
      <c r="P302" s="251"/>
      <c r="Q302" s="201"/>
      <c r="R302" s="523"/>
      <c r="S302" s="159"/>
      <c r="T302" s="391"/>
      <c r="U302" s="170"/>
    </row>
    <row r="303" spans="1:21" hidden="1" outlineLevel="2">
      <c r="A303" s="162"/>
      <c r="B303" s="171"/>
      <c r="C303" s="174" t="s">
        <v>479</v>
      </c>
      <c r="D303" s="340"/>
      <c r="E303" s="164"/>
      <c r="F303" s="165"/>
      <c r="G303" s="172"/>
      <c r="H303" s="164"/>
      <c r="I303" s="164"/>
      <c r="J303" s="219"/>
      <c r="K303" s="217"/>
      <c r="L303" s="167"/>
      <c r="M303" s="202"/>
      <c r="N303" s="251"/>
      <c r="O303" s="203"/>
      <c r="P303" s="251"/>
      <c r="Q303" s="201"/>
      <c r="R303" s="523"/>
      <c r="S303" s="159"/>
      <c r="T303" s="391"/>
      <c r="U303" s="170"/>
    </row>
    <row r="304" spans="1:21" hidden="1" outlineLevel="2">
      <c r="A304" s="162"/>
      <c r="B304" s="171"/>
      <c r="C304" s="174" t="s">
        <v>485</v>
      </c>
      <c r="D304" s="340"/>
      <c r="E304" s="164"/>
      <c r="F304" s="165"/>
      <c r="G304" s="172"/>
      <c r="H304" s="164"/>
      <c r="I304" s="164"/>
      <c r="J304" s="219"/>
      <c r="K304" s="217"/>
      <c r="L304" s="167"/>
      <c r="M304" s="202"/>
      <c r="N304" s="251"/>
      <c r="O304" s="203"/>
      <c r="P304" s="251"/>
      <c r="Q304" s="201"/>
      <c r="R304" s="523"/>
      <c r="S304" s="159"/>
      <c r="T304" s="391"/>
      <c r="U304" s="170"/>
    </row>
    <row r="305" spans="1:21" hidden="1" outlineLevel="2">
      <c r="A305" s="162"/>
      <c r="B305" s="171"/>
      <c r="C305" s="151" t="s">
        <v>505</v>
      </c>
      <c r="D305" s="339"/>
      <c r="E305" s="164"/>
      <c r="F305" s="165"/>
      <c r="G305" s="172"/>
      <c r="H305" s="164"/>
      <c r="I305" s="164"/>
      <c r="J305" s="219"/>
      <c r="K305" s="217"/>
      <c r="L305" s="167"/>
      <c r="M305" s="202"/>
      <c r="N305" s="251"/>
      <c r="O305" s="203"/>
      <c r="P305" s="251"/>
      <c r="Q305" s="201"/>
      <c r="R305" s="523"/>
      <c r="S305" s="159"/>
      <c r="T305" s="391"/>
      <c r="U305" s="170"/>
    </row>
    <row r="306" spans="1:21" hidden="1" outlineLevel="2">
      <c r="A306" s="162"/>
      <c r="B306" s="171"/>
      <c r="C306" s="174" t="s">
        <v>487</v>
      </c>
      <c r="D306" s="340"/>
      <c r="E306" s="164"/>
      <c r="F306" s="165"/>
      <c r="G306" s="172"/>
      <c r="H306" s="164"/>
      <c r="I306" s="164"/>
      <c r="J306" s="219"/>
      <c r="K306" s="217"/>
      <c r="L306" s="167"/>
      <c r="M306" s="202"/>
      <c r="N306" s="251"/>
      <c r="O306" s="203"/>
      <c r="P306" s="251"/>
      <c r="Q306" s="201"/>
      <c r="R306" s="523"/>
      <c r="S306" s="159"/>
      <c r="T306" s="391"/>
      <c r="U306" s="170"/>
    </row>
    <row r="307" spans="1:21" hidden="1" outlineLevel="2">
      <c r="A307" s="162"/>
      <c r="B307" s="171"/>
      <c r="C307" s="174" t="s">
        <v>479</v>
      </c>
      <c r="D307" s="340"/>
      <c r="E307" s="164"/>
      <c r="F307" s="165"/>
      <c r="G307" s="172"/>
      <c r="H307" s="164"/>
      <c r="I307" s="164"/>
      <c r="J307" s="219"/>
      <c r="K307" s="217"/>
      <c r="L307" s="167"/>
      <c r="M307" s="202"/>
      <c r="N307" s="251"/>
      <c r="O307" s="203"/>
      <c r="P307" s="251"/>
      <c r="Q307" s="201"/>
      <c r="R307" s="523"/>
      <c r="S307" s="159"/>
      <c r="T307" s="391"/>
      <c r="U307" s="170"/>
    </row>
    <row r="308" spans="1:21" hidden="1" outlineLevel="2">
      <c r="A308" s="162"/>
      <c r="B308" s="171"/>
      <c r="C308" s="174" t="s">
        <v>488</v>
      </c>
      <c r="D308" s="340"/>
      <c r="E308" s="164"/>
      <c r="F308" s="165"/>
      <c r="G308" s="172"/>
      <c r="H308" s="164"/>
      <c r="I308" s="164"/>
      <c r="J308" s="219"/>
      <c r="K308" s="217"/>
      <c r="L308" s="167"/>
      <c r="M308" s="202"/>
      <c r="N308" s="251"/>
      <c r="O308" s="203"/>
      <c r="P308" s="251"/>
      <c r="Q308" s="201"/>
      <c r="R308" s="523"/>
      <c r="S308" s="159"/>
      <c r="T308" s="391"/>
      <c r="U308" s="170"/>
    </row>
    <row r="309" spans="1:21" hidden="1" outlineLevel="2">
      <c r="A309" s="162"/>
      <c r="B309" s="171"/>
      <c r="C309" s="174" t="s">
        <v>489</v>
      </c>
      <c r="D309" s="340"/>
      <c r="E309" s="164"/>
      <c r="F309" s="165"/>
      <c r="G309" s="172"/>
      <c r="H309" s="164"/>
      <c r="I309" s="164"/>
      <c r="J309" s="219"/>
      <c r="K309" s="217"/>
      <c r="L309" s="167"/>
      <c r="M309" s="202"/>
      <c r="N309" s="251"/>
      <c r="O309" s="203"/>
      <c r="P309" s="251"/>
      <c r="Q309" s="201"/>
      <c r="R309" s="523"/>
      <c r="S309" s="159"/>
      <c r="T309" s="391"/>
      <c r="U309" s="170"/>
    </row>
    <row r="310" spans="1:21" hidden="1" outlineLevel="2">
      <c r="A310" s="162"/>
      <c r="B310" s="171"/>
      <c r="C310" s="151" t="s">
        <v>506</v>
      </c>
      <c r="D310" s="339"/>
      <c r="E310" s="164"/>
      <c r="F310" s="165"/>
      <c r="G310" s="172"/>
      <c r="H310" s="164"/>
      <c r="I310" s="164"/>
      <c r="J310" s="219"/>
      <c r="K310" s="217"/>
      <c r="L310" s="167"/>
      <c r="M310" s="202"/>
      <c r="N310" s="251"/>
      <c r="O310" s="203"/>
      <c r="P310" s="251"/>
      <c r="Q310" s="201"/>
      <c r="R310" s="523"/>
      <c r="S310" s="159"/>
      <c r="T310" s="391"/>
      <c r="U310" s="170"/>
    </row>
    <row r="311" spans="1:21" hidden="1" outlineLevel="2">
      <c r="A311" s="162"/>
      <c r="B311" s="171"/>
      <c r="C311" s="174" t="s">
        <v>491</v>
      </c>
      <c r="D311" s="340"/>
      <c r="E311" s="164"/>
      <c r="F311" s="165"/>
      <c r="G311" s="172"/>
      <c r="H311" s="164"/>
      <c r="I311" s="164"/>
      <c r="J311" s="219"/>
      <c r="K311" s="217"/>
      <c r="L311" s="167"/>
      <c r="M311" s="202"/>
      <c r="N311" s="251"/>
      <c r="O311" s="203"/>
      <c r="P311" s="251"/>
      <c r="Q311" s="201"/>
      <c r="R311" s="523"/>
      <c r="S311" s="159"/>
      <c r="T311" s="391"/>
      <c r="U311" s="170"/>
    </row>
    <row r="312" spans="1:21" hidden="1" outlineLevel="2">
      <c r="A312" s="162"/>
      <c r="B312" s="171"/>
      <c r="C312" s="174" t="s">
        <v>492</v>
      </c>
      <c r="D312" s="340"/>
      <c r="E312" s="164"/>
      <c r="F312" s="165"/>
      <c r="G312" s="172"/>
      <c r="H312" s="164"/>
      <c r="I312" s="164"/>
      <c r="J312" s="219"/>
      <c r="K312" s="217"/>
      <c r="L312" s="167"/>
      <c r="M312" s="202">
        <v>200000</v>
      </c>
      <c r="N312" s="251">
        <f>M312*1.23</f>
        <v>246000</v>
      </c>
      <c r="O312" s="203"/>
      <c r="P312" s="251"/>
      <c r="Q312" s="201"/>
      <c r="R312" s="523"/>
      <c r="S312" s="159">
        <f t="shared" si="6"/>
        <v>246000</v>
      </c>
      <c r="T312" s="391"/>
      <c r="U312" s="170" t="s">
        <v>546</v>
      </c>
    </row>
    <row r="313" spans="1:21" hidden="1" outlineLevel="2">
      <c r="A313" s="162"/>
      <c r="B313" s="171"/>
      <c r="C313" s="174" t="s">
        <v>493</v>
      </c>
      <c r="D313" s="340"/>
      <c r="E313" s="164"/>
      <c r="F313" s="165"/>
      <c r="G313" s="172"/>
      <c r="H313" s="164"/>
      <c r="I313" s="164"/>
      <c r="J313" s="219"/>
      <c r="K313" s="217"/>
      <c r="L313" s="167"/>
      <c r="M313" s="202">
        <v>1500000</v>
      </c>
      <c r="N313" s="251">
        <f>M313*1.23</f>
        <v>1845000</v>
      </c>
      <c r="O313" s="203"/>
      <c r="P313" s="251"/>
      <c r="Q313" s="201"/>
      <c r="R313" s="523"/>
      <c r="S313" s="159">
        <f t="shared" si="6"/>
        <v>1845000</v>
      </c>
      <c r="T313" s="391"/>
      <c r="U313" s="170" t="s">
        <v>547</v>
      </c>
    </row>
    <row r="314" spans="1:21" hidden="1" outlineLevel="2">
      <c r="A314" s="162"/>
      <c r="B314" s="171"/>
      <c r="C314" s="174" t="s">
        <v>494</v>
      </c>
      <c r="D314" s="340"/>
      <c r="E314" s="164"/>
      <c r="F314" s="165"/>
      <c r="G314" s="172"/>
      <c r="H314" s="164"/>
      <c r="I314" s="164"/>
      <c r="J314" s="219"/>
      <c r="K314" s="217"/>
      <c r="L314" s="167"/>
      <c r="M314" s="202"/>
      <c r="N314" s="251"/>
      <c r="O314" s="203"/>
      <c r="P314" s="251"/>
      <c r="Q314" s="201"/>
      <c r="R314" s="523"/>
      <c r="S314" s="159"/>
      <c r="T314" s="391"/>
      <c r="U314" s="170"/>
    </row>
    <row r="315" spans="1:21" hidden="1" outlineLevel="2">
      <c r="A315" s="162"/>
      <c r="B315" s="171"/>
      <c r="C315" s="151" t="s">
        <v>507</v>
      </c>
      <c r="D315" s="339"/>
      <c r="E315" s="164"/>
      <c r="F315" s="165"/>
      <c r="G315" s="172"/>
      <c r="H315" s="164"/>
      <c r="I315" s="164"/>
      <c r="J315" s="219"/>
      <c r="K315" s="217"/>
      <c r="L315" s="167"/>
      <c r="M315" s="202"/>
      <c r="N315" s="251"/>
      <c r="O315" s="203"/>
      <c r="P315" s="251"/>
      <c r="Q315" s="201"/>
      <c r="R315" s="523"/>
      <c r="S315" s="159"/>
      <c r="T315" s="391"/>
      <c r="U315" s="170"/>
    </row>
    <row r="316" spans="1:21" hidden="1" outlineLevel="2">
      <c r="A316" s="162"/>
      <c r="B316" s="171"/>
      <c r="C316" s="174" t="s">
        <v>496</v>
      </c>
      <c r="D316" s="340"/>
      <c r="E316" s="164"/>
      <c r="F316" s="165"/>
      <c r="G316" s="172"/>
      <c r="H316" s="164"/>
      <c r="I316" s="164"/>
      <c r="J316" s="219"/>
      <c r="K316" s="217"/>
      <c r="L316" s="167"/>
      <c r="M316" s="202"/>
      <c r="N316" s="251"/>
      <c r="O316" s="203">
        <v>350000</v>
      </c>
      <c r="P316" s="251">
        <f t="shared" si="7"/>
        <v>511000</v>
      </c>
      <c r="Q316" s="201"/>
      <c r="R316" s="523"/>
      <c r="S316" s="159">
        <f t="shared" si="6"/>
        <v>511000</v>
      </c>
      <c r="T316" s="391"/>
      <c r="U316" s="170"/>
    </row>
    <row r="317" spans="1:21" hidden="1" outlineLevel="2">
      <c r="A317" s="162"/>
      <c r="B317" s="171"/>
      <c r="C317" s="174" t="s">
        <v>497</v>
      </c>
      <c r="D317" s="340"/>
      <c r="E317" s="164"/>
      <c r="F317" s="165"/>
      <c r="G317" s="172"/>
      <c r="H317" s="164"/>
      <c r="I317" s="164"/>
      <c r="J317" s="219"/>
      <c r="K317" s="217"/>
      <c r="L317" s="167"/>
      <c r="M317" s="202" t="s">
        <v>514</v>
      </c>
      <c r="N317" s="251"/>
      <c r="O317" s="203"/>
      <c r="P317" s="251"/>
      <c r="Q317" s="201">
        <v>200000</v>
      </c>
      <c r="R317" s="523">
        <f>Q317*1.73</f>
        <v>346000</v>
      </c>
      <c r="S317" s="159">
        <f t="shared" si="6"/>
        <v>346000</v>
      </c>
      <c r="T317" s="391"/>
      <c r="U317" s="170" t="s">
        <v>531</v>
      </c>
    </row>
    <row r="318" spans="1:21" hidden="1" outlineLevel="2">
      <c r="A318" s="162"/>
      <c r="B318" s="171"/>
      <c r="C318" s="174" t="s">
        <v>499</v>
      </c>
      <c r="D318" s="340"/>
      <c r="E318" s="164"/>
      <c r="F318" s="165"/>
      <c r="G318" s="172"/>
      <c r="H318" s="164"/>
      <c r="I318" s="164"/>
      <c r="J318" s="219"/>
      <c r="K318" s="217"/>
      <c r="L318" s="167"/>
      <c r="M318" s="202"/>
      <c r="N318" s="251"/>
      <c r="O318" s="203"/>
      <c r="P318" s="251"/>
      <c r="Q318" s="201"/>
      <c r="R318" s="523"/>
      <c r="S318" s="159"/>
      <c r="T318" s="391"/>
      <c r="U318" s="170"/>
    </row>
    <row r="319" spans="1:21" hidden="1" outlineLevel="2">
      <c r="A319" s="162"/>
      <c r="B319" s="171"/>
      <c r="C319" s="174" t="s">
        <v>526</v>
      </c>
      <c r="D319" s="340"/>
      <c r="E319" s="164"/>
      <c r="F319" s="165"/>
      <c r="G319" s="172"/>
      <c r="H319" s="164"/>
      <c r="I319" s="164"/>
      <c r="J319" s="219"/>
      <c r="K319" s="217"/>
      <c r="L319" s="167"/>
      <c r="M319" s="202" t="s">
        <v>514</v>
      </c>
      <c r="N319" s="251"/>
      <c r="O319" s="203"/>
      <c r="P319" s="251"/>
      <c r="Q319" s="201"/>
      <c r="R319" s="523"/>
      <c r="S319" s="159"/>
      <c r="T319" s="391"/>
      <c r="U319" s="170"/>
    </row>
    <row r="320" spans="1:21" hidden="1" outlineLevel="2">
      <c r="A320" s="162"/>
      <c r="B320" s="171"/>
      <c r="C320" s="151" t="s">
        <v>548</v>
      </c>
      <c r="D320" s="339"/>
      <c r="E320" s="164"/>
      <c r="F320" s="165"/>
      <c r="G320" s="172"/>
      <c r="H320" s="164"/>
      <c r="I320" s="164"/>
      <c r="J320" s="219"/>
      <c r="K320" s="217"/>
      <c r="L320" s="167"/>
      <c r="M320" s="202"/>
      <c r="N320" s="251"/>
      <c r="O320" s="203"/>
      <c r="P320" s="251"/>
      <c r="Q320" s="201"/>
      <c r="R320" s="523"/>
      <c r="S320" s="159"/>
      <c r="T320" s="391"/>
      <c r="U320" s="170"/>
    </row>
    <row r="321" spans="1:21" s="135" customFormat="1" hidden="1" outlineLevel="1" collapsed="1">
      <c r="A321" s="229"/>
      <c r="B321" s="151"/>
      <c r="C321" s="151" t="s">
        <v>544</v>
      </c>
      <c r="D321" s="339"/>
      <c r="E321" s="244"/>
      <c r="F321" s="248"/>
      <c r="G321" s="249"/>
      <c r="H321" s="244"/>
      <c r="I321" s="244"/>
      <c r="J321" s="251"/>
      <c r="K321" s="252"/>
      <c r="L321" s="226"/>
      <c r="M321" s="202">
        <f>SUM(M295:M320)</f>
        <v>1950000</v>
      </c>
      <c r="N321" s="251">
        <f>M321*1.23</f>
        <v>2398500</v>
      </c>
      <c r="O321" s="203">
        <f>SUM(O295:O320)</f>
        <v>800000</v>
      </c>
      <c r="P321" s="251">
        <f t="shared" si="7"/>
        <v>1168000</v>
      </c>
      <c r="Q321" s="201">
        <f>SUM(Q295:Q320)</f>
        <v>200000</v>
      </c>
      <c r="R321" s="523">
        <f>Q321*1.73</f>
        <v>346000</v>
      </c>
      <c r="S321" s="159">
        <f t="shared" si="6"/>
        <v>3912500</v>
      </c>
      <c r="T321" s="391" t="s">
        <v>360</v>
      </c>
      <c r="U321" s="542"/>
    </row>
    <row r="322" spans="1:21" hidden="1" outlineLevel="2">
      <c r="A322" s="162"/>
      <c r="B322" s="151" t="s">
        <v>549</v>
      </c>
      <c r="C322" s="171"/>
      <c r="D322" s="345"/>
      <c r="E322" s="164"/>
      <c r="F322" s="165"/>
      <c r="G322" s="172"/>
      <c r="H322" s="164"/>
      <c r="I322" s="164"/>
      <c r="J322" s="219"/>
      <c r="K322" s="217"/>
      <c r="L322" s="167"/>
      <c r="M322" s="202"/>
      <c r="N322" s="251"/>
      <c r="O322" s="202"/>
      <c r="P322" s="251"/>
      <c r="Q322" s="201"/>
      <c r="R322" s="523"/>
      <c r="S322" s="159"/>
      <c r="T322" s="391"/>
      <c r="U322" s="170"/>
    </row>
    <row r="323" spans="1:21" hidden="1" outlineLevel="2">
      <c r="A323" s="162"/>
      <c r="B323" s="171"/>
      <c r="C323" s="151" t="s">
        <v>503</v>
      </c>
      <c r="D323" s="339"/>
      <c r="E323" s="164"/>
      <c r="F323" s="165"/>
      <c r="G323" s="172"/>
      <c r="H323" s="164"/>
      <c r="I323" s="164"/>
      <c r="J323" s="219"/>
      <c r="K323" s="217"/>
      <c r="L323" s="167"/>
      <c r="M323" s="202"/>
      <c r="N323" s="251"/>
      <c r="O323" s="203"/>
      <c r="P323" s="251"/>
      <c r="Q323" s="201"/>
      <c r="R323" s="523"/>
      <c r="S323" s="159"/>
      <c r="T323" s="391"/>
      <c r="U323" s="170"/>
    </row>
    <row r="324" spans="1:21" hidden="1" outlineLevel="2">
      <c r="A324" s="162"/>
      <c r="B324" s="171"/>
      <c r="C324" s="174" t="s">
        <v>510</v>
      </c>
      <c r="D324" s="340"/>
      <c r="E324" s="164"/>
      <c r="F324" s="165"/>
      <c r="G324" s="172"/>
      <c r="H324" s="164"/>
      <c r="I324" s="164"/>
      <c r="J324" s="219"/>
      <c r="K324" s="217"/>
      <c r="L324" s="167"/>
      <c r="M324" s="202"/>
      <c r="N324" s="251"/>
      <c r="O324" s="203"/>
      <c r="P324" s="251"/>
      <c r="Q324" s="201"/>
      <c r="R324" s="523"/>
      <c r="S324" s="159"/>
      <c r="T324" s="391"/>
      <c r="U324" s="170"/>
    </row>
    <row r="325" spans="1:21" hidden="1" outlineLevel="2">
      <c r="A325" s="162"/>
      <c r="B325" s="171"/>
      <c r="C325" s="174" t="s">
        <v>478</v>
      </c>
      <c r="D325" s="340"/>
      <c r="E325" s="164"/>
      <c r="F325" s="165"/>
      <c r="G325" s="172"/>
      <c r="H325" s="164"/>
      <c r="I325" s="164"/>
      <c r="J325" s="219"/>
      <c r="K325" s="217"/>
      <c r="L325" s="167"/>
      <c r="M325" s="202"/>
      <c r="N325" s="251"/>
      <c r="O325" s="202"/>
      <c r="P325" s="251"/>
      <c r="Q325" s="201"/>
      <c r="R325" s="523"/>
      <c r="S325" s="159"/>
      <c r="T325" s="391"/>
      <c r="U325" s="161" t="s">
        <v>550</v>
      </c>
    </row>
    <row r="326" spans="1:21" hidden="1" outlineLevel="2">
      <c r="A326" s="162"/>
      <c r="B326" s="171"/>
      <c r="C326" s="174" t="s">
        <v>479</v>
      </c>
      <c r="D326" s="340"/>
      <c r="E326" s="164"/>
      <c r="F326" s="165"/>
      <c r="G326" s="172"/>
      <c r="H326" s="164"/>
      <c r="I326" s="164"/>
      <c r="J326" s="219"/>
      <c r="K326" s="217"/>
      <c r="L326" s="220"/>
      <c r="M326" s="204"/>
      <c r="N326" s="251"/>
      <c r="O326" s="204"/>
      <c r="P326" s="251"/>
      <c r="Q326" s="201"/>
      <c r="R326" s="523"/>
      <c r="S326" s="159"/>
      <c r="T326" s="391"/>
      <c r="U326" s="161"/>
    </row>
    <row r="327" spans="1:21" hidden="1" outlineLevel="2">
      <c r="A327" s="162"/>
      <c r="B327" s="171"/>
      <c r="C327" s="174" t="s">
        <v>480</v>
      </c>
      <c r="D327" s="340"/>
      <c r="E327" s="164"/>
      <c r="F327" s="165"/>
      <c r="G327" s="172"/>
      <c r="H327" s="164"/>
      <c r="I327" s="164"/>
      <c r="J327" s="219"/>
      <c r="K327" s="217"/>
      <c r="L327" s="167"/>
      <c r="M327" s="202"/>
      <c r="N327" s="251"/>
      <c r="O327" s="202"/>
      <c r="P327" s="251"/>
      <c r="Q327" s="201"/>
      <c r="R327" s="523"/>
      <c r="S327" s="159"/>
      <c r="T327" s="391"/>
      <c r="U327" s="161"/>
    </row>
    <row r="328" spans="1:21" hidden="1" outlineLevel="2">
      <c r="A328" s="162"/>
      <c r="B328" s="171"/>
      <c r="C328" s="151" t="s">
        <v>504</v>
      </c>
      <c r="D328" s="339"/>
      <c r="E328" s="164"/>
      <c r="F328" s="165"/>
      <c r="G328" s="172"/>
      <c r="H328" s="164"/>
      <c r="I328" s="164"/>
      <c r="J328" s="219"/>
      <c r="K328" s="217"/>
      <c r="L328" s="167"/>
      <c r="M328" s="202"/>
      <c r="N328" s="251"/>
      <c r="O328" s="202"/>
      <c r="P328" s="251"/>
      <c r="Q328" s="201"/>
      <c r="R328" s="523"/>
      <c r="S328" s="159"/>
      <c r="T328" s="391"/>
      <c r="U328" s="161"/>
    </row>
    <row r="329" spans="1:21" hidden="1" outlineLevel="2">
      <c r="A329" s="162"/>
      <c r="B329" s="171"/>
      <c r="C329" s="174" t="s">
        <v>483</v>
      </c>
      <c r="D329" s="340"/>
      <c r="E329" s="164"/>
      <c r="F329" s="165"/>
      <c r="G329" s="172"/>
      <c r="H329" s="164"/>
      <c r="I329" s="164"/>
      <c r="J329" s="219"/>
      <c r="K329" s="217"/>
      <c r="L329" s="167"/>
      <c r="M329" s="202"/>
      <c r="N329" s="251"/>
      <c r="O329" s="202"/>
      <c r="P329" s="251"/>
      <c r="Q329" s="201"/>
      <c r="R329" s="523"/>
      <c r="S329" s="159"/>
      <c r="T329" s="391"/>
      <c r="U329" s="161"/>
    </row>
    <row r="330" spans="1:21" hidden="1" outlineLevel="2">
      <c r="A330" s="162"/>
      <c r="B330" s="171"/>
      <c r="C330" s="174" t="s">
        <v>484</v>
      </c>
      <c r="D330" s="340"/>
      <c r="E330" s="164"/>
      <c r="F330" s="165"/>
      <c r="G330" s="172"/>
      <c r="H330" s="164"/>
      <c r="I330" s="164"/>
      <c r="J330" s="219"/>
      <c r="K330" s="217"/>
      <c r="L330" s="167"/>
      <c r="M330" s="202"/>
      <c r="N330" s="251"/>
      <c r="O330" s="202"/>
      <c r="P330" s="251"/>
      <c r="Q330" s="201"/>
      <c r="R330" s="523"/>
      <c r="S330" s="159"/>
      <c r="T330" s="391"/>
      <c r="U330" s="161"/>
    </row>
    <row r="331" spans="1:21" hidden="1" outlineLevel="2">
      <c r="A331" s="162"/>
      <c r="B331" s="171"/>
      <c r="C331" s="174" t="s">
        <v>479</v>
      </c>
      <c r="D331" s="340"/>
      <c r="E331" s="164"/>
      <c r="F331" s="165"/>
      <c r="G331" s="172"/>
      <c r="H331" s="164"/>
      <c r="I331" s="164"/>
      <c r="J331" s="219"/>
      <c r="K331" s="217"/>
      <c r="L331" s="167"/>
      <c r="M331" s="202"/>
      <c r="N331" s="251"/>
      <c r="O331" s="202"/>
      <c r="P331" s="251"/>
      <c r="Q331" s="201"/>
      <c r="R331" s="523"/>
      <c r="S331" s="159"/>
      <c r="T331" s="391"/>
      <c r="U331" s="161"/>
    </row>
    <row r="332" spans="1:21" hidden="1" outlineLevel="2">
      <c r="A332" s="162"/>
      <c r="B332" s="171"/>
      <c r="C332" s="174" t="s">
        <v>485</v>
      </c>
      <c r="D332" s="340"/>
      <c r="E332" s="164"/>
      <c r="F332" s="165"/>
      <c r="G332" s="172"/>
      <c r="H332" s="164"/>
      <c r="I332" s="164"/>
      <c r="J332" s="219"/>
      <c r="K332" s="217"/>
      <c r="L332" s="167"/>
      <c r="M332" s="202"/>
      <c r="N332" s="251"/>
      <c r="O332" s="202"/>
      <c r="P332" s="251"/>
      <c r="Q332" s="201"/>
      <c r="R332" s="523"/>
      <c r="S332" s="159"/>
      <c r="T332" s="391"/>
      <c r="U332" s="161" t="s">
        <v>535</v>
      </c>
    </row>
    <row r="333" spans="1:21" hidden="1" outlineLevel="2">
      <c r="A333" s="162"/>
      <c r="B333" s="171"/>
      <c r="C333" s="151" t="s">
        <v>505</v>
      </c>
      <c r="D333" s="339"/>
      <c r="E333" s="164"/>
      <c r="F333" s="165"/>
      <c r="G333" s="172"/>
      <c r="H333" s="164"/>
      <c r="I333" s="164"/>
      <c r="J333" s="219"/>
      <c r="K333" s="217"/>
      <c r="L333" s="167"/>
      <c r="M333" s="202"/>
      <c r="N333" s="251"/>
      <c r="O333" s="202"/>
      <c r="P333" s="251"/>
      <c r="Q333" s="201"/>
      <c r="R333" s="523"/>
      <c r="S333" s="159"/>
      <c r="T333" s="391"/>
      <c r="U333" s="161"/>
    </row>
    <row r="334" spans="1:21" hidden="1" outlineLevel="2">
      <c r="A334" s="162"/>
      <c r="B334" s="171"/>
      <c r="C334" s="174" t="s">
        <v>487</v>
      </c>
      <c r="D334" s="340"/>
      <c r="E334" s="164"/>
      <c r="F334" s="165"/>
      <c r="G334" s="172"/>
      <c r="H334" s="164"/>
      <c r="I334" s="164"/>
      <c r="J334" s="219"/>
      <c r="K334" s="217"/>
      <c r="L334" s="167"/>
      <c r="M334" s="202"/>
      <c r="N334" s="251"/>
      <c r="O334" s="202"/>
      <c r="P334" s="251"/>
      <c r="Q334" s="201"/>
      <c r="R334" s="523"/>
      <c r="S334" s="159"/>
      <c r="T334" s="391"/>
      <c r="U334" s="161"/>
    </row>
    <row r="335" spans="1:21" hidden="1" outlineLevel="2">
      <c r="A335" s="162"/>
      <c r="B335" s="171"/>
      <c r="C335" s="174" t="s">
        <v>479</v>
      </c>
      <c r="D335" s="340"/>
      <c r="E335" s="164"/>
      <c r="F335" s="165"/>
      <c r="G335" s="172"/>
      <c r="H335" s="164"/>
      <c r="I335" s="164"/>
      <c r="J335" s="219"/>
      <c r="K335" s="217"/>
      <c r="L335" s="167"/>
      <c r="M335" s="202"/>
      <c r="N335" s="251"/>
      <c r="O335" s="202"/>
      <c r="P335" s="251"/>
      <c r="Q335" s="201"/>
      <c r="R335" s="523"/>
      <c r="S335" s="159"/>
      <c r="T335" s="391"/>
      <c r="U335" s="161"/>
    </row>
    <row r="336" spans="1:21" hidden="1" outlineLevel="2">
      <c r="A336" s="162"/>
      <c r="B336" s="171"/>
      <c r="C336" s="174" t="s">
        <v>488</v>
      </c>
      <c r="D336" s="340"/>
      <c r="E336" s="164"/>
      <c r="F336" s="165"/>
      <c r="G336" s="172"/>
      <c r="H336" s="164"/>
      <c r="I336" s="164"/>
      <c r="J336" s="219"/>
      <c r="K336" s="217"/>
      <c r="L336" s="167"/>
      <c r="M336" s="202"/>
      <c r="N336" s="251"/>
      <c r="O336" s="202"/>
      <c r="P336" s="251"/>
      <c r="Q336" s="201"/>
      <c r="R336" s="523"/>
      <c r="S336" s="159"/>
      <c r="T336" s="391"/>
      <c r="U336" s="161"/>
    </row>
    <row r="337" spans="1:21" hidden="1" outlineLevel="2">
      <c r="A337" s="162"/>
      <c r="B337" s="171"/>
      <c r="C337" s="174" t="s">
        <v>489</v>
      </c>
      <c r="D337" s="340"/>
      <c r="E337" s="164"/>
      <c r="F337" s="165"/>
      <c r="G337" s="172"/>
      <c r="H337" s="164"/>
      <c r="I337" s="164"/>
      <c r="J337" s="219"/>
      <c r="K337" s="217"/>
      <c r="L337" s="167"/>
      <c r="M337" s="202"/>
      <c r="N337" s="251"/>
      <c r="O337" s="202"/>
      <c r="P337" s="251"/>
      <c r="Q337" s="201"/>
      <c r="R337" s="523"/>
      <c r="S337" s="159"/>
      <c r="T337" s="391"/>
      <c r="U337" s="161" t="s">
        <v>525</v>
      </c>
    </row>
    <row r="338" spans="1:21" hidden="1" outlineLevel="2">
      <c r="A338" s="162"/>
      <c r="B338" s="171"/>
      <c r="C338" s="151" t="s">
        <v>506</v>
      </c>
      <c r="D338" s="339"/>
      <c r="E338" s="164"/>
      <c r="F338" s="165"/>
      <c r="G338" s="172"/>
      <c r="H338" s="164"/>
      <c r="I338" s="164"/>
      <c r="J338" s="219"/>
      <c r="K338" s="217"/>
      <c r="L338" s="167"/>
      <c r="M338" s="202"/>
      <c r="N338" s="251"/>
      <c r="O338" s="202"/>
      <c r="P338" s="251"/>
      <c r="Q338" s="201"/>
      <c r="R338" s="523"/>
      <c r="S338" s="159"/>
      <c r="T338" s="391"/>
      <c r="U338" s="170"/>
    </row>
    <row r="339" spans="1:21" hidden="1" outlineLevel="2">
      <c r="A339" s="162"/>
      <c r="B339" s="171"/>
      <c r="C339" s="174" t="s">
        <v>491</v>
      </c>
      <c r="D339" s="340"/>
      <c r="E339" s="164"/>
      <c r="F339" s="165"/>
      <c r="G339" s="172"/>
      <c r="H339" s="164"/>
      <c r="I339" s="164"/>
      <c r="J339" s="219"/>
      <c r="K339" s="217"/>
      <c r="L339" s="167"/>
      <c r="M339" s="202"/>
      <c r="N339" s="251"/>
      <c r="O339" s="202"/>
      <c r="P339" s="251"/>
      <c r="Q339" s="201"/>
      <c r="R339" s="523"/>
      <c r="S339" s="159"/>
      <c r="T339" s="391"/>
      <c r="U339" s="170"/>
    </row>
    <row r="340" spans="1:21" hidden="1" outlineLevel="2">
      <c r="A340" s="162"/>
      <c r="B340" s="171"/>
      <c r="C340" s="174" t="s">
        <v>492</v>
      </c>
      <c r="D340" s="340"/>
      <c r="E340" s="164"/>
      <c r="F340" s="165"/>
      <c r="G340" s="172"/>
      <c r="H340" s="164"/>
      <c r="I340" s="164"/>
      <c r="J340" s="219"/>
      <c r="K340" s="217"/>
      <c r="L340" s="167"/>
      <c r="M340" s="202"/>
      <c r="N340" s="251"/>
      <c r="O340" s="202">
        <v>500000</v>
      </c>
      <c r="P340" s="251">
        <f>O340*1.46</f>
        <v>730000</v>
      </c>
      <c r="Q340" s="201"/>
      <c r="R340" s="523"/>
      <c r="S340" s="159">
        <f t="shared" ref="S340" si="8">SUM(L340,N340,P340,R340)</f>
        <v>730000</v>
      </c>
      <c r="T340" s="391"/>
      <c r="U340" s="170"/>
    </row>
    <row r="341" spans="1:21" hidden="1" outlineLevel="2">
      <c r="A341" s="162"/>
      <c r="B341" s="171"/>
      <c r="C341" s="174" t="s">
        <v>493</v>
      </c>
      <c r="D341" s="340"/>
      <c r="E341" s="164"/>
      <c r="F341" s="165"/>
      <c r="G341" s="172"/>
      <c r="H341" s="164"/>
      <c r="I341" s="164"/>
      <c r="J341" s="219"/>
      <c r="K341" s="217"/>
      <c r="L341" s="167"/>
      <c r="M341" s="202"/>
      <c r="N341" s="251"/>
      <c r="O341" s="202"/>
      <c r="P341" s="251"/>
      <c r="Q341" s="201"/>
      <c r="R341" s="523"/>
      <c r="S341" s="159"/>
      <c r="T341" s="391"/>
      <c r="U341" s="170"/>
    </row>
    <row r="342" spans="1:21" hidden="1" outlineLevel="2">
      <c r="A342" s="162"/>
      <c r="B342" s="171"/>
      <c r="C342" s="174" t="s">
        <v>494</v>
      </c>
      <c r="D342" s="340"/>
      <c r="E342" s="164"/>
      <c r="F342" s="165"/>
      <c r="G342" s="172"/>
      <c r="H342" s="164"/>
      <c r="I342" s="164"/>
      <c r="J342" s="219"/>
      <c r="K342" s="217"/>
      <c r="L342" s="167"/>
      <c r="M342" s="202"/>
      <c r="N342" s="251"/>
      <c r="O342" s="202"/>
      <c r="P342" s="251"/>
      <c r="Q342" s="201"/>
      <c r="R342" s="523"/>
      <c r="S342" s="159"/>
      <c r="T342" s="391"/>
      <c r="U342" s="170"/>
    </row>
    <row r="343" spans="1:21" hidden="1" outlineLevel="2">
      <c r="A343" s="162"/>
      <c r="B343" s="171"/>
      <c r="C343" s="151" t="s">
        <v>507</v>
      </c>
      <c r="D343" s="339"/>
      <c r="E343" s="164"/>
      <c r="F343" s="165"/>
      <c r="G343" s="172"/>
      <c r="H343" s="164"/>
      <c r="I343" s="164"/>
      <c r="J343" s="219"/>
      <c r="K343" s="217"/>
      <c r="L343" s="167"/>
      <c r="M343" s="202"/>
      <c r="N343" s="251"/>
      <c r="O343" s="202"/>
      <c r="P343" s="251"/>
      <c r="Q343" s="201"/>
      <c r="R343" s="523"/>
      <c r="S343" s="159"/>
      <c r="T343" s="391"/>
      <c r="U343" s="170"/>
    </row>
    <row r="344" spans="1:21" hidden="1" outlineLevel="2">
      <c r="A344" s="162"/>
      <c r="B344" s="171"/>
      <c r="C344" s="174" t="s">
        <v>496</v>
      </c>
      <c r="D344" s="340"/>
      <c r="E344" s="164"/>
      <c r="F344" s="165"/>
      <c r="G344" s="172"/>
      <c r="H344" s="164"/>
      <c r="I344" s="164"/>
      <c r="J344" s="219"/>
      <c r="K344" s="217"/>
      <c r="L344" s="167"/>
      <c r="M344" s="202"/>
      <c r="N344" s="251"/>
      <c r="O344" s="202"/>
      <c r="P344" s="251"/>
      <c r="Q344" s="201"/>
      <c r="R344" s="523"/>
      <c r="S344" s="159"/>
      <c r="T344" s="391"/>
      <c r="U344" s="170"/>
    </row>
    <row r="345" spans="1:21" hidden="1" outlineLevel="2">
      <c r="A345" s="162"/>
      <c r="B345" s="171"/>
      <c r="C345" s="174" t="s">
        <v>497</v>
      </c>
      <c r="D345" s="340"/>
      <c r="E345" s="164"/>
      <c r="F345" s="165"/>
      <c r="G345" s="172"/>
      <c r="H345" s="164"/>
      <c r="I345" s="164"/>
      <c r="J345" s="219"/>
      <c r="K345" s="217"/>
      <c r="L345" s="167"/>
      <c r="M345" s="202"/>
      <c r="N345" s="251"/>
      <c r="O345" s="202"/>
      <c r="P345" s="251"/>
      <c r="Q345" s="201"/>
      <c r="R345" s="523"/>
      <c r="S345" s="159"/>
      <c r="T345" s="391"/>
      <c r="U345" s="170"/>
    </row>
    <row r="346" spans="1:21" hidden="1" outlineLevel="2">
      <c r="A346" s="162"/>
      <c r="B346" s="171"/>
      <c r="C346" s="174" t="s">
        <v>499</v>
      </c>
      <c r="D346" s="340"/>
      <c r="E346" s="164"/>
      <c r="F346" s="165"/>
      <c r="G346" s="172"/>
      <c r="H346" s="164"/>
      <c r="I346" s="164"/>
      <c r="J346" s="219"/>
      <c r="K346" s="217"/>
      <c r="L346" s="167"/>
      <c r="M346" s="202"/>
      <c r="N346" s="251"/>
      <c r="O346" s="202"/>
      <c r="P346" s="251"/>
      <c r="Q346" s="201"/>
      <c r="R346" s="523"/>
      <c r="S346" s="159"/>
      <c r="T346" s="391"/>
      <c r="U346" s="170"/>
    </row>
    <row r="347" spans="1:21" hidden="1" outlineLevel="2">
      <c r="A347" s="162"/>
      <c r="B347" s="171"/>
      <c r="C347" s="174" t="s">
        <v>526</v>
      </c>
      <c r="D347" s="340"/>
      <c r="E347" s="164"/>
      <c r="F347" s="165"/>
      <c r="G347" s="172"/>
      <c r="H347" s="164"/>
      <c r="I347" s="164"/>
      <c r="J347" s="219"/>
      <c r="K347" s="217"/>
      <c r="L347" s="167"/>
      <c r="M347" s="202"/>
      <c r="N347" s="251"/>
      <c r="O347" s="202"/>
      <c r="P347" s="251"/>
      <c r="Q347" s="201"/>
      <c r="R347" s="523"/>
      <c r="S347" s="159"/>
      <c r="T347" s="391"/>
      <c r="U347" s="161" t="s">
        <v>525</v>
      </c>
    </row>
    <row r="348" spans="1:21" hidden="1" outlineLevel="2">
      <c r="A348" s="162"/>
      <c r="B348" s="171"/>
      <c r="C348" s="151" t="s">
        <v>551</v>
      </c>
      <c r="D348" s="339"/>
      <c r="E348" s="164"/>
      <c r="F348" s="165"/>
      <c r="G348" s="172"/>
      <c r="H348" s="164"/>
      <c r="I348" s="164"/>
      <c r="J348" s="219"/>
      <c r="K348" s="217"/>
      <c r="L348" s="167"/>
      <c r="M348" s="202"/>
      <c r="N348" s="251"/>
      <c r="O348" s="202">
        <v>15000000</v>
      </c>
      <c r="P348" s="251">
        <f t="shared" ref="P348:P349" si="9">O348*1.46</f>
        <v>21900000</v>
      </c>
      <c r="Q348" s="201"/>
      <c r="R348" s="523"/>
      <c r="S348" s="159">
        <f t="shared" ref="S348:S349" si="10">SUM(L348,N348,P348,R348)</f>
        <v>21900000</v>
      </c>
      <c r="T348" s="391"/>
      <c r="U348" s="161" t="s">
        <v>994</v>
      </c>
    </row>
    <row r="349" spans="1:21" s="135" customFormat="1" hidden="1" outlineLevel="1" collapsed="1">
      <c r="A349" s="229"/>
      <c r="B349" s="151"/>
      <c r="C349" s="151" t="s">
        <v>549</v>
      </c>
      <c r="D349" s="339"/>
      <c r="E349" s="244"/>
      <c r="F349" s="248"/>
      <c r="G349" s="249"/>
      <c r="H349" s="244"/>
      <c r="I349" s="244"/>
      <c r="J349" s="251"/>
      <c r="K349" s="252"/>
      <c r="L349" s="226"/>
      <c r="M349" s="202"/>
      <c r="N349" s="251"/>
      <c r="O349" s="203">
        <f>SUM(O323:O348)</f>
        <v>15500000</v>
      </c>
      <c r="P349" s="251">
        <f t="shared" si="9"/>
        <v>22630000</v>
      </c>
      <c r="Q349" s="201"/>
      <c r="R349" s="523"/>
      <c r="S349" s="159">
        <f t="shared" si="10"/>
        <v>22630000</v>
      </c>
      <c r="T349" s="391" t="s">
        <v>360</v>
      </c>
      <c r="U349" s="263"/>
    </row>
    <row r="350" spans="1:21" hidden="1" outlineLevel="2">
      <c r="A350" s="162"/>
      <c r="B350" s="151" t="s">
        <v>552</v>
      </c>
      <c r="C350" s="171"/>
      <c r="D350" s="345"/>
      <c r="E350" s="164"/>
      <c r="F350" s="165"/>
      <c r="G350" s="172"/>
      <c r="H350" s="164"/>
      <c r="I350" s="164"/>
      <c r="J350" s="219"/>
      <c r="K350" s="217"/>
      <c r="L350" s="167"/>
      <c r="M350" s="202"/>
      <c r="N350" s="251"/>
      <c r="O350" s="203"/>
      <c r="P350" s="251"/>
      <c r="Q350" s="201"/>
      <c r="R350" s="523"/>
      <c r="S350" s="159"/>
      <c r="T350" s="391"/>
      <c r="U350" s="170"/>
    </row>
    <row r="351" spans="1:21" hidden="1" outlineLevel="2">
      <c r="A351" s="162"/>
      <c r="B351" s="171"/>
      <c r="C351" s="151" t="s">
        <v>503</v>
      </c>
      <c r="D351" s="339"/>
      <c r="E351" s="164"/>
      <c r="F351" s="165"/>
      <c r="G351" s="172"/>
      <c r="H351" s="164"/>
      <c r="I351" s="164"/>
      <c r="J351" s="219"/>
      <c r="K351" s="217"/>
      <c r="L351" s="167"/>
      <c r="M351" s="202"/>
      <c r="N351" s="251"/>
      <c r="O351" s="203"/>
      <c r="P351" s="251"/>
      <c r="Q351" s="201"/>
      <c r="R351" s="523"/>
      <c r="S351" s="159"/>
      <c r="T351" s="391"/>
      <c r="U351" s="170"/>
    </row>
    <row r="352" spans="1:21" hidden="1" outlineLevel="2">
      <c r="A352" s="162"/>
      <c r="B352" s="171"/>
      <c r="C352" s="174" t="s">
        <v>477</v>
      </c>
      <c r="D352" s="340"/>
      <c r="E352" s="164"/>
      <c r="F352" s="165"/>
      <c r="G352" s="172"/>
      <c r="H352" s="164"/>
      <c r="I352" s="164">
        <f>CIP!$AT$76</f>
        <v>0</v>
      </c>
      <c r="J352" s="219">
        <f>CIP!$AU$76</f>
        <v>0</v>
      </c>
      <c r="K352" s="217"/>
      <c r="L352" s="167">
        <f>SUM(G352:K352)</f>
        <v>0</v>
      </c>
      <c r="M352" s="202" t="s">
        <v>514</v>
      </c>
      <c r="N352" s="251"/>
      <c r="O352" s="203"/>
      <c r="P352" s="251"/>
      <c r="Q352" s="201"/>
      <c r="R352" s="523"/>
      <c r="S352" s="159">
        <f t="shared" ref="S352:S377" si="11">SUM(L352,N352,P352,R352)</f>
        <v>0</v>
      </c>
      <c r="T352" s="391"/>
      <c r="U352" s="170" t="s">
        <v>553</v>
      </c>
    </row>
    <row r="353" spans="1:21" hidden="1" outlineLevel="2">
      <c r="A353" s="162"/>
      <c r="B353" s="171"/>
      <c r="C353" s="174" t="s">
        <v>478</v>
      </c>
      <c r="D353" s="340"/>
      <c r="E353" s="164"/>
      <c r="F353" s="165"/>
      <c r="G353" s="172"/>
      <c r="H353" s="164"/>
      <c r="I353" s="164"/>
      <c r="J353" s="219"/>
      <c r="K353" s="217"/>
      <c r="L353" s="167"/>
      <c r="M353" s="202"/>
      <c r="N353" s="251"/>
      <c r="O353" s="203"/>
      <c r="P353" s="251"/>
      <c r="Q353" s="201" t="s">
        <v>514</v>
      </c>
      <c r="R353" s="523"/>
      <c r="S353" s="159"/>
      <c r="T353" s="391"/>
      <c r="U353" s="170"/>
    </row>
    <row r="354" spans="1:21" hidden="1" outlineLevel="2">
      <c r="A354" s="162"/>
      <c r="B354" s="171"/>
      <c r="C354" s="174" t="s">
        <v>479</v>
      </c>
      <c r="D354" s="340"/>
      <c r="E354" s="164"/>
      <c r="F354" s="165"/>
      <c r="G354" s="172"/>
      <c r="H354" s="164"/>
      <c r="I354" s="164"/>
      <c r="J354" s="219"/>
      <c r="K354" s="217"/>
      <c r="L354" s="167"/>
      <c r="M354" s="202">
        <v>150000</v>
      </c>
      <c r="N354" s="251">
        <f>M354*1.23</f>
        <v>184500</v>
      </c>
      <c r="O354" s="203"/>
      <c r="P354" s="251"/>
      <c r="Q354" s="201" t="s">
        <v>514</v>
      </c>
      <c r="R354" s="523"/>
      <c r="S354" s="159">
        <f t="shared" si="11"/>
        <v>184500</v>
      </c>
      <c r="T354" s="391"/>
      <c r="U354" s="170"/>
    </row>
    <row r="355" spans="1:21" hidden="1" outlineLevel="2">
      <c r="A355" s="162"/>
      <c r="B355" s="171"/>
      <c r="C355" s="174" t="s">
        <v>480</v>
      </c>
      <c r="D355" s="340"/>
      <c r="E355" s="164"/>
      <c r="F355" s="165"/>
      <c r="G355" s="172"/>
      <c r="H355" s="164"/>
      <c r="I355" s="164"/>
      <c r="J355" s="219"/>
      <c r="K355" s="217"/>
      <c r="L355" s="167"/>
      <c r="M355" s="202"/>
      <c r="N355" s="251"/>
      <c r="O355" s="203"/>
      <c r="P355" s="251"/>
      <c r="Q355" s="201"/>
      <c r="R355" s="523"/>
      <c r="S355" s="159"/>
      <c r="T355" s="391"/>
      <c r="U355" s="170" t="s">
        <v>514</v>
      </c>
    </row>
    <row r="356" spans="1:21" hidden="1" outlineLevel="2">
      <c r="A356" s="162"/>
      <c r="B356" s="171"/>
      <c r="C356" s="174" t="s">
        <v>481</v>
      </c>
      <c r="D356" s="340"/>
      <c r="E356" s="164"/>
      <c r="F356" s="165"/>
      <c r="G356" s="172"/>
      <c r="H356" s="164"/>
      <c r="I356" s="164"/>
      <c r="J356" s="219"/>
      <c r="K356" s="217"/>
      <c r="L356" s="167"/>
      <c r="M356" s="202"/>
      <c r="N356" s="251"/>
      <c r="O356" s="203"/>
      <c r="P356" s="251"/>
      <c r="Q356" s="201"/>
      <c r="R356" s="523"/>
      <c r="S356" s="159"/>
      <c r="T356" s="391"/>
      <c r="U356" s="170"/>
    </row>
    <row r="357" spans="1:21" hidden="1" outlineLevel="2">
      <c r="A357" s="162"/>
      <c r="B357" s="171"/>
      <c r="C357" s="151" t="s">
        <v>504</v>
      </c>
      <c r="D357" s="339"/>
      <c r="E357" s="164"/>
      <c r="F357" s="165"/>
      <c r="G357" s="172"/>
      <c r="H357" s="164"/>
      <c r="I357" s="164"/>
      <c r="J357" s="219"/>
      <c r="K357" s="217"/>
      <c r="L357" s="167"/>
      <c r="M357" s="202"/>
      <c r="N357" s="251"/>
      <c r="O357" s="203"/>
      <c r="P357" s="251"/>
      <c r="Q357" s="201"/>
      <c r="R357" s="523"/>
      <c r="S357" s="159"/>
      <c r="T357" s="391"/>
      <c r="U357" s="170"/>
    </row>
    <row r="358" spans="1:21" hidden="1" outlineLevel="2">
      <c r="A358" s="162"/>
      <c r="B358" s="171"/>
      <c r="C358" s="174" t="s">
        <v>483</v>
      </c>
      <c r="D358" s="340"/>
      <c r="E358" s="164"/>
      <c r="F358" s="165"/>
      <c r="G358" s="172"/>
      <c r="H358" s="164"/>
      <c r="I358" s="164"/>
      <c r="J358" s="219"/>
      <c r="K358" s="217"/>
      <c r="L358" s="167"/>
      <c r="M358" s="202">
        <v>200000</v>
      </c>
      <c r="N358" s="251">
        <f>M358*1.23</f>
        <v>246000</v>
      </c>
      <c r="O358" s="203"/>
      <c r="P358" s="251"/>
      <c r="Q358" s="201"/>
      <c r="R358" s="523"/>
      <c r="S358" s="159">
        <f t="shared" si="11"/>
        <v>246000</v>
      </c>
      <c r="T358" s="391"/>
      <c r="U358" s="170"/>
    </row>
    <row r="359" spans="1:21" hidden="1" outlineLevel="2">
      <c r="A359" s="162"/>
      <c r="B359" s="171"/>
      <c r="C359" s="174" t="s">
        <v>484</v>
      </c>
      <c r="D359" s="340"/>
      <c r="E359" s="164"/>
      <c r="F359" s="165"/>
      <c r="G359" s="172"/>
      <c r="H359" s="164"/>
      <c r="I359" s="164"/>
      <c r="J359" s="219"/>
      <c r="K359" s="217"/>
      <c r="L359" s="167"/>
      <c r="M359" s="202"/>
      <c r="N359" s="251"/>
      <c r="O359" s="203"/>
      <c r="P359" s="251"/>
      <c r="Q359" s="201"/>
      <c r="R359" s="523"/>
      <c r="S359" s="159"/>
      <c r="T359" s="391"/>
      <c r="U359" s="170"/>
    </row>
    <row r="360" spans="1:21" hidden="1" outlineLevel="2">
      <c r="A360" s="162"/>
      <c r="B360" s="171"/>
      <c r="C360" s="174" t="s">
        <v>479</v>
      </c>
      <c r="D360" s="340"/>
      <c r="E360" s="164"/>
      <c r="F360" s="165"/>
      <c r="G360" s="172"/>
      <c r="H360" s="164"/>
      <c r="I360" s="164"/>
      <c r="J360" s="219"/>
      <c r="K360" s="217"/>
      <c r="L360" s="167"/>
      <c r="M360" s="202"/>
      <c r="N360" s="251"/>
      <c r="O360" s="203"/>
      <c r="P360" s="251"/>
      <c r="Q360" s="201"/>
      <c r="R360" s="523"/>
      <c r="S360" s="159"/>
      <c r="T360" s="391"/>
      <c r="U360" s="170"/>
    </row>
    <row r="361" spans="1:21" hidden="1" outlineLevel="2">
      <c r="A361" s="162"/>
      <c r="B361" s="171"/>
      <c r="C361" s="174" t="s">
        <v>485</v>
      </c>
      <c r="D361" s="340"/>
      <c r="E361" s="164"/>
      <c r="F361" s="165"/>
      <c r="G361" s="172"/>
      <c r="H361" s="164"/>
      <c r="I361" s="164"/>
      <c r="J361" s="219"/>
      <c r="K361" s="217"/>
      <c r="L361" s="167"/>
      <c r="M361" s="202"/>
      <c r="N361" s="251"/>
      <c r="O361" s="203"/>
      <c r="P361" s="251"/>
      <c r="Q361" s="201" t="s">
        <v>514</v>
      </c>
      <c r="R361" s="523"/>
      <c r="S361" s="159"/>
      <c r="T361" s="391"/>
      <c r="U361" s="170"/>
    </row>
    <row r="362" spans="1:21" hidden="1" outlineLevel="2">
      <c r="A362" s="162"/>
      <c r="B362" s="171"/>
      <c r="C362" s="151" t="s">
        <v>505</v>
      </c>
      <c r="D362" s="339"/>
      <c r="E362" s="164"/>
      <c r="F362" s="165"/>
      <c r="G362" s="172"/>
      <c r="H362" s="164"/>
      <c r="I362" s="164"/>
      <c r="J362" s="219"/>
      <c r="K362" s="217"/>
      <c r="L362" s="167"/>
      <c r="M362" s="202"/>
      <c r="N362" s="251"/>
      <c r="O362" s="203"/>
      <c r="P362" s="251"/>
      <c r="Q362" s="201"/>
      <c r="R362" s="523"/>
      <c r="S362" s="159"/>
      <c r="T362" s="391"/>
      <c r="U362" s="170"/>
    </row>
    <row r="363" spans="1:21" hidden="1" outlineLevel="2">
      <c r="A363" s="162"/>
      <c r="B363" s="171"/>
      <c r="C363" s="174" t="s">
        <v>487</v>
      </c>
      <c r="D363" s="340"/>
      <c r="E363" s="164"/>
      <c r="F363" s="165"/>
      <c r="G363" s="172"/>
      <c r="H363" s="164"/>
      <c r="I363" s="164"/>
      <c r="J363" s="219"/>
      <c r="K363" s="217"/>
      <c r="L363" s="167"/>
      <c r="M363" s="202"/>
      <c r="N363" s="251"/>
      <c r="O363" s="203"/>
      <c r="P363" s="251"/>
      <c r="Q363" s="201"/>
      <c r="R363" s="523"/>
      <c r="S363" s="159"/>
      <c r="T363" s="391"/>
      <c r="U363" s="170"/>
    </row>
    <row r="364" spans="1:21" hidden="1" outlineLevel="2">
      <c r="A364" s="162"/>
      <c r="B364" s="171"/>
      <c r="C364" s="174" t="s">
        <v>479</v>
      </c>
      <c r="D364" s="340"/>
      <c r="E364" s="164"/>
      <c r="F364" s="165"/>
      <c r="G364" s="172"/>
      <c r="H364" s="164"/>
      <c r="I364" s="164"/>
      <c r="J364" s="219"/>
      <c r="K364" s="217"/>
      <c r="L364" s="167"/>
      <c r="M364" s="202"/>
      <c r="N364" s="251"/>
      <c r="O364" s="203"/>
      <c r="P364" s="251"/>
      <c r="Q364" s="201"/>
      <c r="R364" s="523"/>
      <c r="S364" s="159"/>
      <c r="T364" s="391"/>
      <c r="U364" s="170"/>
    </row>
    <row r="365" spans="1:21" hidden="1" outlineLevel="2">
      <c r="A365" s="162"/>
      <c r="B365" s="171"/>
      <c r="C365" s="174" t="s">
        <v>488</v>
      </c>
      <c r="D365" s="340"/>
      <c r="E365" s="164"/>
      <c r="F365" s="165"/>
      <c r="G365" s="172"/>
      <c r="H365" s="164"/>
      <c r="I365" s="164"/>
      <c r="J365" s="219"/>
      <c r="K365" s="217"/>
      <c r="L365" s="167"/>
      <c r="M365" s="202"/>
      <c r="N365" s="251"/>
      <c r="O365" s="203"/>
      <c r="P365" s="251"/>
      <c r="Q365" s="201"/>
      <c r="R365" s="523"/>
      <c r="S365" s="159"/>
      <c r="T365" s="391"/>
      <c r="U365" s="170"/>
    </row>
    <row r="366" spans="1:21" hidden="1" outlineLevel="2">
      <c r="A366" s="162"/>
      <c r="B366" s="171"/>
      <c r="C366" s="174" t="s">
        <v>489</v>
      </c>
      <c r="D366" s="340"/>
      <c r="E366" s="164"/>
      <c r="F366" s="165"/>
      <c r="G366" s="172"/>
      <c r="H366" s="164"/>
      <c r="I366" s="164"/>
      <c r="J366" s="219"/>
      <c r="K366" s="217"/>
      <c r="L366" s="167"/>
      <c r="M366" s="202"/>
      <c r="N366" s="251"/>
      <c r="O366" s="203"/>
      <c r="P366" s="251"/>
      <c r="Q366" s="201"/>
      <c r="R366" s="523"/>
      <c r="S366" s="159"/>
      <c r="T366" s="391"/>
      <c r="U366" s="170"/>
    </row>
    <row r="367" spans="1:21" hidden="1" outlineLevel="2">
      <c r="A367" s="162"/>
      <c r="B367" s="171"/>
      <c r="C367" s="151" t="s">
        <v>506</v>
      </c>
      <c r="D367" s="339"/>
      <c r="E367" s="164"/>
      <c r="F367" s="165"/>
      <c r="G367" s="172"/>
      <c r="H367" s="164"/>
      <c r="I367" s="164"/>
      <c r="J367" s="219"/>
      <c r="K367" s="217"/>
      <c r="L367" s="167"/>
      <c r="M367" s="202"/>
      <c r="N367" s="251"/>
      <c r="O367" s="203"/>
      <c r="P367" s="251"/>
      <c r="Q367" s="201"/>
      <c r="R367" s="523"/>
      <c r="S367" s="159"/>
      <c r="T367" s="391"/>
      <c r="U367" s="170"/>
    </row>
    <row r="368" spans="1:21" hidden="1" outlineLevel="2">
      <c r="A368" s="162"/>
      <c r="B368" s="171"/>
      <c r="C368" s="174" t="s">
        <v>491</v>
      </c>
      <c r="D368" s="340"/>
      <c r="E368" s="164"/>
      <c r="F368" s="165"/>
      <c r="G368" s="172"/>
      <c r="H368" s="164"/>
      <c r="I368" s="164"/>
      <c r="J368" s="219"/>
      <c r="K368" s="217"/>
      <c r="L368" s="167"/>
      <c r="M368" s="202"/>
      <c r="N368" s="251"/>
      <c r="O368" s="203"/>
      <c r="P368" s="251"/>
      <c r="Q368" s="201">
        <v>500000</v>
      </c>
      <c r="R368" s="523">
        <f>Q368*1.73</f>
        <v>865000</v>
      </c>
      <c r="S368" s="159">
        <f t="shared" si="11"/>
        <v>865000</v>
      </c>
      <c r="T368" s="391"/>
      <c r="U368" s="170"/>
    </row>
    <row r="369" spans="1:21" hidden="1" outlineLevel="2">
      <c r="A369" s="162"/>
      <c r="B369" s="171"/>
      <c r="C369" s="174" t="s">
        <v>492</v>
      </c>
      <c r="D369" s="340"/>
      <c r="E369" s="164"/>
      <c r="F369" s="165"/>
      <c r="G369" s="172"/>
      <c r="H369" s="164"/>
      <c r="I369" s="164"/>
      <c r="J369" s="219"/>
      <c r="K369" s="217"/>
      <c r="L369" s="167"/>
      <c r="M369" s="202">
        <v>1200000</v>
      </c>
      <c r="N369" s="251">
        <f>M369*1.23</f>
        <v>1476000</v>
      </c>
      <c r="O369" s="203"/>
      <c r="P369" s="251"/>
      <c r="Q369" s="201" t="s">
        <v>514</v>
      </c>
      <c r="R369" s="523"/>
      <c r="S369" s="159">
        <f t="shared" si="11"/>
        <v>1476000</v>
      </c>
      <c r="T369" s="391"/>
      <c r="U369" s="170"/>
    </row>
    <row r="370" spans="1:21" hidden="1" outlineLevel="2">
      <c r="A370" s="162"/>
      <c r="B370" s="171"/>
      <c r="C370" s="174" t="s">
        <v>493</v>
      </c>
      <c r="D370" s="340"/>
      <c r="E370" s="164"/>
      <c r="F370" s="165"/>
      <c r="G370" s="172"/>
      <c r="H370" s="164"/>
      <c r="I370" s="164"/>
      <c r="J370" s="219"/>
      <c r="K370" s="217"/>
      <c r="L370" s="167"/>
      <c r="M370" s="202">
        <v>1125000</v>
      </c>
      <c r="N370" s="251">
        <f>M370*1.23</f>
        <v>1383750</v>
      </c>
      <c r="O370" s="203"/>
      <c r="P370" s="251"/>
      <c r="Q370" s="201" t="s">
        <v>514</v>
      </c>
      <c r="R370" s="523"/>
      <c r="S370" s="159">
        <f t="shared" si="11"/>
        <v>1383750</v>
      </c>
      <c r="T370" s="391"/>
      <c r="U370" s="170"/>
    </row>
    <row r="371" spans="1:21" hidden="1" outlineLevel="2">
      <c r="A371" s="162"/>
      <c r="B371" s="171"/>
      <c r="C371" s="174" t="s">
        <v>494</v>
      </c>
      <c r="D371" s="340"/>
      <c r="E371" s="164"/>
      <c r="F371" s="165"/>
      <c r="G371" s="172"/>
      <c r="H371" s="164"/>
      <c r="I371" s="164"/>
      <c r="J371" s="219"/>
      <c r="K371" s="217"/>
      <c r="L371" s="167"/>
      <c r="M371" s="202"/>
      <c r="N371" s="251"/>
      <c r="O371" s="203"/>
      <c r="P371" s="251"/>
      <c r="Q371" s="201"/>
      <c r="R371" s="523"/>
      <c r="S371" s="159"/>
      <c r="T371" s="391"/>
      <c r="U371" s="170"/>
    </row>
    <row r="372" spans="1:21" hidden="1" outlineLevel="2">
      <c r="A372" s="162"/>
      <c r="B372" s="171"/>
      <c r="C372" s="151" t="s">
        <v>507</v>
      </c>
      <c r="D372" s="339"/>
      <c r="E372" s="164"/>
      <c r="F372" s="165"/>
      <c r="G372" s="172"/>
      <c r="H372" s="164"/>
      <c r="I372" s="164"/>
      <c r="J372" s="219"/>
      <c r="K372" s="217"/>
      <c r="L372" s="167"/>
      <c r="M372" s="202"/>
      <c r="N372" s="251"/>
      <c r="O372" s="203"/>
      <c r="P372" s="251"/>
      <c r="Q372" s="201"/>
      <c r="R372" s="523"/>
      <c r="S372" s="159"/>
      <c r="T372" s="391"/>
      <c r="U372" s="170"/>
    </row>
    <row r="373" spans="1:21" hidden="1" outlineLevel="2">
      <c r="A373" s="162"/>
      <c r="B373" s="171"/>
      <c r="C373" s="174" t="s">
        <v>496</v>
      </c>
      <c r="D373" s="340"/>
      <c r="E373" s="164"/>
      <c r="F373" s="165"/>
      <c r="G373" s="172"/>
      <c r="H373" s="164"/>
      <c r="I373" s="164"/>
      <c r="J373" s="219"/>
      <c r="K373" s="217"/>
      <c r="L373" s="167"/>
      <c r="M373" s="202">
        <v>350000</v>
      </c>
      <c r="N373" s="251">
        <f>M373*1.23</f>
        <v>430500</v>
      </c>
      <c r="O373" s="203"/>
      <c r="P373" s="251"/>
      <c r="Q373" s="201"/>
      <c r="R373" s="523"/>
      <c r="S373" s="159">
        <f t="shared" si="11"/>
        <v>430500</v>
      </c>
      <c r="T373" s="391"/>
      <c r="U373" s="170"/>
    </row>
    <row r="374" spans="1:21" hidden="1" outlineLevel="2">
      <c r="A374" s="162"/>
      <c r="B374" s="171"/>
      <c r="C374" s="174" t="s">
        <v>497</v>
      </c>
      <c r="D374" s="340"/>
      <c r="E374" s="164"/>
      <c r="F374" s="165"/>
      <c r="G374" s="172"/>
      <c r="H374" s="164"/>
      <c r="I374" s="164"/>
      <c r="J374" s="219"/>
      <c r="K374" s="217"/>
      <c r="L374" s="167"/>
      <c r="M374" s="202" t="s">
        <v>514</v>
      </c>
      <c r="N374" s="251"/>
      <c r="O374" s="203"/>
      <c r="P374" s="251"/>
      <c r="Q374" s="201"/>
      <c r="R374" s="523"/>
      <c r="S374" s="159"/>
      <c r="T374" s="391"/>
      <c r="U374" s="170" t="s">
        <v>554</v>
      </c>
    </row>
    <row r="375" spans="1:21" hidden="1" outlineLevel="2">
      <c r="A375" s="162"/>
      <c r="B375" s="171"/>
      <c r="C375" s="174" t="s">
        <v>499</v>
      </c>
      <c r="D375" s="340"/>
      <c r="E375" s="164"/>
      <c r="F375" s="165"/>
      <c r="G375" s="172"/>
      <c r="H375" s="164"/>
      <c r="I375" s="164"/>
      <c r="J375" s="219"/>
      <c r="K375" s="217"/>
      <c r="L375" s="167"/>
      <c r="M375" s="202"/>
      <c r="N375" s="251"/>
      <c r="O375" s="203"/>
      <c r="P375" s="251"/>
      <c r="Q375" s="201"/>
      <c r="R375" s="523"/>
      <c r="S375" s="159"/>
      <c r="T375" s="391"/>
      <c r="U375" s="170"/>
    </row>
    <row r="376" spans="1:21" hidden="1" outlineLevel="2">
      <c r="A376" s="162"/>
      <c r="B376" s="171"/>
      <c r="C376" s="174" t="s">
        <v>526</v>
      </c>
      <c r="D376" s="340"/>
      <c r="E376" s="164"/>
      <c r="F376" s="165"/>
      <c r="G376" s="172"/>
      <c r="H376" s="164"/>
      <c r="I376" s="164"/>
      <c r="J376" s="219"/>
      <c r="K376" s="217"/>
      <c r="L376" s="167"/>
      <c r="M376" s="202">
        <v>500000</v>
      </c>
      <c r="N376" s="251">
        <f>M376*1.23</f>
        <v>615000</v>
      </c>
      <c r="O376" s="203"/>
      <c r="P376" s="251"/>
      <c r="Q376" s="201"/>
      <c r="R376" s="523"/>
      <c r="S376" s="159">
        <f t="shared" si="11"/>
        <v>615000</v>
      </c>
      <c r="T376" s="391"/>
      <c r="U376" s="170"/>
    </row>
    <row r="377" spans="1:21" hidden="1" outlineLevel="1" collapsed="1">
      <c r="A377" s="162"/>
      <c r="B377" s="171"/>
      <c r="C377" s="151" t="s">
        <v>552</v>
      </c>
      <c r="D377" s="339"/>
      <c r="E377" s="164"/>
      <c r="F377" s="165"/>
      <c r="G377" s="249"/>
      <c r="H377" s="244"/>
      <c r="I377" s="244">
        <f>SUM(I351:I376)</f>
        <v>0</v>
      </c>
      <c r="J377" s="251">
        <f>SUM(J351:J376)</f>
        <v>0</v>
      </c>
      <c r="K377" s="252"/>
      <c r="L377" s="226">
        <f>SUM(L351:L376)</f>
        <v>0</v>
      </c>
      <c r="M377" s="202">
        <f>SUM(M351:M376)</f>
        <v>3525000</v>
      </c>
      <c r="N377" s="251">
        <f>M377*1.23</f>
        <v>4335750</v>
      </c>
      <c r="O377" s="203"/>
      <c r="P377" s="251"/>
      <c r="Q377" s="201">
        <f>SUM(Q352:Q376)</f>
        <v>500000</v>
      </c>
      <c r="R377" s="523">
        <f>Q377*1.73</f>
        <v>865000</v>
      </c>
      <c r="S377" s="159">
        <f t="shared" si="11"/>
        <v>5200750</v>
      </c>
      <c r="T377" s="391" t="s">
        <v>360</v>
      </c>
      <c r="U377" s="170"/>
    </row>
    <row r="378" spans="1:21" hidden="1" outlineLevel="2">
      <c r="A378" s="162"/>
      <c r="B378" s="151" t="s">
        <v>555</v>
      </c>
      <c r="C378" s="171"/>
      <c r="D378" s="345"/>
      <c r="E378" s="164"/>
      <c r="F378" s="165"/>
      <c r="G378" s="172"/>
      <c r="H378" s="164"/>
      <c r="I378" s="164"/>
      <c r="J378" s="219"/>
      <c r="K378" s="217"/>
      <c r="L378" s="167"/>
      <c r="M378" s="202"/>
      <c r="N378" s="525"/>
      <c r="O378" s="202"/>
      <c r="P378" s="251"/>
      <c r="Q378" s="201"/>
      <c r="R378" s="523"/>
      <c r="S378" s="159"/>
      <c r="T378" s="391"/>
      <c r="U378" s="170"/>
    </row>
    <row r="379" spans="1:21" hidden="1" outlineLevel="2">
      <c r="A379" s="162"/>
      <c r="B379" s="171"/>
      <c r="C379" s="151" t="s">
        <v>503</v>
      </c>
      <c r="D379" s="339"/>
      <c r="E379" s="164"/>
      <c r="F379" s="165"/>
      <c r="G379" s="172"/>
      <c r="H379" s="164"/>
      <c r="I379" s="164"/>
      <c r="J379" s="219"/>
      <c r="K379" s="217"/>
      <c r="L379" s="167"/>
      <c r="M379" s="202"/>
      <c r="N379" s="525"/>
      <c r="O379" s="203"/>
      <c r="P379" s="251"/>
      <c r="Q379" s="201"/>
      <c r="R379" s="523"/>
      <c r="S379" s="159"/>
      <c r="T379" s="391"/>
      <c r="U379" s="170"/>
    </row>
    <row r="380" spans="1:21" hidden="1" outlineLevel="2">
      <c r="A380" s="162"/>
      <c r="B380" s="171"/>
      <c r="C380" s="174" t="s">
        <v>523</v>
      </c>
      <c r="D380" s="340"/>
      <c r="E380" s="164"/>
      <c r="F380" s="165"/>
      <c r="G380" s="172"/>
      <c r="H380" s="164"/>
      <c r="I380" s="164"/>
      <c r="J380" s="219"/>
      <c r="K380" s="217"/>
      <c r="L380" s="167"/>
      <c r="M380" s="202"/>
      <c r="N380" s="525"/>
      <c r="O380" s="202">
        <v>300000</v>
      </c>
      <c r="P380" s="251">
        <f>O380*1.46</f>
        <v>438000</v>
      </c>
      <c r="Q380" s="201"/>
      <c r="R380" s="523"/>
      <c r="S380" s="159">
        <f t="shared" ref="S380:S406" si="12">SUM(L380,N380,P380,R380)</f>
        <v>438000</v>
      </c>
      <c r="T380" s="391"/>
      <c r="U380" s="170"/>
    </row>
    <row r="381" spans="1:21" hidden="1" outlineLevel="2">
      <c r="A381" s="162"/>
      <c r="B381" s="171"/>
      <c r="C381" s="174" t="s">
        <v>478</v>
      </c>
      <c r="D381" s="340"/>
      <c r="E381" s="164"/>
      <c r="F381" s="165"/>
      <c r="G381" s="172"/>
      <c r="H381" s="164"/>
      <c r="I381" s="164"/>
      <c r="J381" s="219"/>
      <c r="K381" s="217"/>
      <c r="L381" s="167"/>
      <c r="M381" s="202"/>
      <c r="N381" s="525"/>
      <c r="O381" s="202">
        <v>75000</v>
      </c>
      <c r="P381" s="251">
        <f t="shared" ref="P381:P383" si="13">O381*1.46</f>
        <v>109500</v>
      </c>
      <c r="Q381" s="201"/>
      <c r="R381" s="523"/>
      <c r="S381" s="159">
        <f t="shared" si="12"/>
        <v>109500</v>
      </c>
      <c r="T381" s="391"/>
      <c r="U381" s="170"/>
    </row>
    <row r="382" spans="1:21" hidden="1" outlineLevel="2">
      <c r="A382" s="162"/>
      <c r="B382" s="171"/>
      <c r="C382" s="174" t="s">
        <v>479</v>
      </c>
      <c r="D382" s="340"/>
      <c r="E382" s="164"/>
      <c r="F382" s="165"/>
      <c r="G382" s="172"/>
      <c r="H382" s="164"/>
      <c r="I382" s="164"/>
      <c r="J382" s="219"/>
      <c r="K382" s="217"/>
      <c r="L382" s="220"/>
      <c r="M382" s="204"/>
      <c r="N382" s="525"/>
      <c r="O382" s="204">
        <v>300000</v>
      </c>
      <c r="P382" s="251">
        <f t="shared" si="13"/>
        <v>438000</v>
      </c>
      <c r="Q382" s="201"/>
      <c r="R382" s="523"/>
      <c r="S382" s="159">
        <f t="shared" si="12"/>
        <v>438000</v>
      </c>
      <c r="T382" s="391"/>
      <c r="U382" s="170"/>
    </row>
    <row r="383" spans="1:21" hidden="1" outlineLevel="2">
      <c r="A383" s="162"/>
      <c r="B383" s="171"/>
      <c r="C383" s="174" t="s">
        <v>480</v>
      </c>
      <c r="D383" s="340"/>
      <c r="E383" s="164"/>
      <c r="F383" s="165"/>
      <c r="G383" s="172"/>
      <c r="H383" s="164"/>
      <c r="I383" s="164"/>
      <c r="J383" s="219"/>
      <c r="K383" s="217"/>
      <c r="L383" s="167"/>
      <c r="M383" s="202"/>
      <c r="N383" s="525"/>
      <c r="O383" s="202">
        <v>150000</v>
      </c>
      <c r="P383" s="251">
        <f t="shared" si="13"/>
        <v>219000</v>
      </c>
      <c r="Q383" s="201"/>
      <c r="R383" s="523"/>
      <c r="S383" s="159">
        <f t="shared" si="12"/>
        <v>219000</v>
      </c>
      <c r="T383" s="391"/>
      <c r="U383" s="170"/>
    </row>
    <row r="384" spans="1:21" hidden="1" outlineLevel="2">
      <c r="A384" s="162"/>
      <c r="B384" s="171"/>
      <c r="C384" s="174" t="s">
        <v>512</v>
      </c>
      <c r="D384" s="340"/>
      <c r="E384" s="164"/>
      <c r="F384" s="165"/>
      <c r="G384" s="172"/>
      <c r="H384" s="164"/>
      <c r="I384" s="164"/>
      <c r="J384" s="219"/>
      <c r="K384" s="217"/>
      <c r="L384" s="167"/>
      <c r="M384" s="202"/>
      <c r="N384" s="525"/>
      <c r="O384" s="203"/>
      <c r="P384" s="251"/>
      <c r="Q384" s="201"/>
      <c r="R384" s="523"/>
      <c r="S384" s="159"/>
      <c r="T384" s="391"/>
      <c r="U384" s="170" t="s">
        <v>1145</v>
      </c>
    </row>
    <row r="385" spans="1:21" hidden="1" outlineLevel="2">
      <c r="A385" s="162"/>
      <c r="B385" s="171"/>
      <c r="C385" s="151" t="s">
        <v>504</v>
      </c>
      <c r="D385" s="339"/>
      <c r="E385" s="164"/>
      <c r="F385" s="165"/>
      <c r="G385" s="172"/>
      <c r="H385" s="164"/>
      <c r="I385" s="164"/>
      <c r="J385" s="219"/>
      <c r="K385" s="217"/>
      <c r="L385" s="167"/>
      <c r="M385" s="202"/>
      <c r="N385" s="525"/>
      <c r="O385" s="203"/>
      <c r="P385" s="251"/>
      <c r="Q385" s="201"/>
      <c r="R385" s="523"/>
      <c r="S385" s="159"/>
      <c r="T385" s="391"/>
      <c r="U385" s="170"/>
    </row>
    <row r="386" spans="1:21" hidden="1" outlineLevel="2">
      <c r="A386" s="162"/>
      <c r="B386" s="171"/>
      <c r="C386" s="174" t="s">
        <v>483</v>
      </c>
      <c r="D386" s="340"/>
      <c r="E386" s="164"/>
      <c r="F386" s="165"/>
      <c r="G386" s="172"/>
      <c r="H386" s="164"/>
      <c r="I386" s="164"/>
      <c r="J386" s="219"/>
      <c r="K386" s="217"/>
      <c r="L386" s="167"/>
      <c r="M386" s="202"/>
      <c r="N386" s="525"/>
      <c r="O386" s="203"/>
      <c r="P386" s="251"/>
      <c r="Q386" s="201"/>
      <c r="R386" s="523"/>
      <c r="S386" s="159"/>
      <c r="T386" s="391"/>
      <c r="U386" s="170"/>
    </row>
    <row r="387" spans="1:21" hidden="1" outlineLevel="2">
      <c r="A387" s="162"/>
      <c r="B387" s="171"/>
      <c r="C387" s="174" t="s">
        <v>484</v>
      </c>
      <c r="D387" s="340"/>
      <c r="E387" s="164"/>
      <c r="F387" s="165"/>
      <c r="G387" s="172"/>
      <c r="H387" s="164"/>
      <c r="I387" s="164"/>
      <c r="J387" s="219"/>
      <c r="K387" s="217"/>
      <c r="L387" s="167"/>
      <c r="M387" s="202"/>
      <c r="N387" s="525"/>
      <c r="O387" s="203"/>
      <c r="P387" s="251"/>
      <c r="Q387" s="201"/>
      <c r="R387" s="523"/>
      <c r="S387" s="159"/>
      <c r="T387" s="391"/>
      <c r="U387" s="170"/>
    </row>
    <row r="388" spans="1:21" hidden="1" outlineLevel="2">
      <c r="A388" s="162"/>
      <c r="B388" s="171"/>
      <c r="C388" s="174" t="s">
        <v>479</v>
      </c>
      <c r="D388" s="340"/>
      <c r="E388" s="164"/>
      <c r="F388" s="165"/>
      <c r="G388" s="172"/>
      <c r="H388" s="164"/>
      <c r="I388" s="164"/>
      <c r="J388" s="219"/>
      <c r="K388" s="217"/>
      <c r="L388" s="167"/>
      <c r="M388" s="202"/>
      <c r="N388" s="525"/>
      <c r="O388" s="203"/>
      <c r="P388" s="251"/>
      <c r="Q388" s="201"/>
      <c r="R388" s="523"/>
      <c r="S388" s="159"/>
      <c r="T388" s="391"/>
      <c r="U388" s="170"/>
    </row>
    <row r="389" spans="1:21" hidden="1" outlineLevel="2">
      <c r="A389" s="162"/>
      <c r="B389" s="171"/>
      <c r="C389" s="174" t="s">
        <v>485</v>
      </c>
      <c r="D389" s="340"/>
      <c r="E389" s="164"/>
      <c r="F389" s="165"/>
      <c r="G389" s="172"/>
      <c r="H389" s="164"/>
      <c r="I389" s="164"/>
      <c r="J389" s="219"/>
      <c r="K389" s="217"/>
      <c r="L389" s="167"/>
      <c r="M389" s="202"/>
      <c r="N389" s="525"/>
      <c r="O389" s="203"/>
      <c r="P389" s="251"/>
      <c r="Q389" s="201"/>
      <c r="R389" s="523"/>
      <c r="S389" s="159"/>
      <c r="T389" s="391"/>
      <c r="U389" s="161" t="s">
        <v>535</v>
      </c>
    </row>
    <row r="390" spans="1:21" hidden="1" outlineLevel="2">
      <c r="A390" s="162"/>
      <c r="B390" s="171"/>
      <c r="C390" s="151" t="s">
        <v>505</v>
      </c>
      <c r="D390" s="339"/>
      <c r="E390" s="164"/>
      <c r="F390" s="165"/>
      <c r="G390" s="172"/>
      <c r="H390" s="164"/>
      <c r="I390" s="164"/>
      <c r="J390" s="219"/>
      <c r="K390" s="217"/>
      <c r="L390" s="167"/>
      <c r="M390" s="202"/>
      <c r="N390" s="525"/>
      <c r="O390" s="203"/>
      <c r="P390" s="251"/>
      <c r="Q390" s="201"/>
      <c r="R390" s="523"/>
      <c r="S390" s="159"/>
      <c r="T390" s="391"/>
      <c r="U390" s="161"/>
    </row>
    <row r="391" spans="1:21" hidden="1" outlineLevel="2">
      <c r="A391" s="162"/>
      <c r="B391" s="171"/>
      <c r="C391" s="174" t="s">
        <v>487</v>
      </c>
      <c r="D391" s="340"/>
      <c r="E391" s="164"/>
      <c r="F391" s="165"/>
      <c r="G391" s="172"/>
      <c r="H391" s="164"/>
      <c r="I391" s="164"/>
      <c r="J391" s="219"/>
      <c r="K391" s="217"/>
      <c r="L391" s="167"/>
      <c r="M391" s="202"/>
      <c r="N391" s="525"/>
      <c r="O391" s="203"/>
      <c r="P391" s="251"/>
      <c r="Q391" s="201"/>
      <c r="R391" s="523"/>
      <c r="S391" s="159"/>
      <c r="T391" s="391"/>
      <c r="U391" s="161"/>
    </row>
    <row r="392" spans="1:21" hidden="1" outlineLevel="2">
      <c r="A392" s="162"/>
      <c r="B392" s="171"/>
      <c r="C392" s="174" t="s">
        <v>479</v>
      </c>
      <c r="D392" s="340"/>
      <c r="E392" s="164"/>
      <c r="F392" s="165"/>
      <c r="G392" s="172"/>
      <c r="H392" s="164"/>
      <c r="I392" s="164"/>
      <c r="J392" s="219"/>
      <c r="K392" s="217"/>
      <c r="L392" s="167"/>
      <c r="M392" s="202"/>
      <c r="N392" s="525"/>
      <c r="O392" s="203"/>
      <c r="P392" s="251"/>
      <c r="Q392" s="201"/>
      <c r="R392" s="523"/>
      <c r="S392" s="159"/>
      <c r="T392" s="391"/>
      <c r="U392" s="161"/>
    </row>
    <row r="393" spans="1:21" hidden="1" outlineLevel="2">
      <c r="A393" s="162"/>
      <c r="B393" s="171"/>
      <c r="C393" s="174" t="s">
        <v>488</v>
      </c>
      <c r="D393" s="340"/>
      <c r="E393" s="164"/>
      <c r="F393" s="165"/>
      <c r="G393" s="172"/>
      <c r="H393" s="164"/>
      <c r="I393" s="164"/>
      <c r="J393" s="219"/>
      <c r="K393" s="217"/>
      <c r="L393" s="167"/>
      <c r="M393" s="202"/>
      <c r="N393" s="525"/>
      <c r="O393" s="203"/>
      <c r="P393" s="251"/>
      <c r="Q393" s="201"/>
      <c r="R393" s="523"/>
      <c r="S393" s="159"/>
      <c r="T393" s="391"/>
      <c r="U393" s="161"/>
    </row>
    <row r="394" spans="1:21" hidden="1" outlineLevel="2">
      <c r="A394" s="162"/>
      <c r="B394" s="171"/>
      <c r="C394" s="174" t="s">
        <v>489</v>
      </c>
      <c r="D394" s="340"/>
      <c r="E394" s="164"/>
      <c r="F394" s="165"/>
      <c r="G394" s="172"/>
      <c r="H394" s="164"/>
      <c r="I394" s="164"/>
      <c r="J394" s="219"/>
      <c r="K394" s="217"/>
      <c r="L394" s="167"/>
      <c r="M394" s="202"/>
      <c r="N394" s="525"/>
      <c r="O394" s="203"/>
      <c r="P394" s="251"/>
      <c r="Q394" s="201"/>
      <c r="R394" s="523"/>
      <c r="S394" s="159"/>
      <c r="T394" s="391"/>
      <c r="U394" s="161"/>
    </row>
    <row r="395" spans="1:21" hidden="1" outlineLevel="2">
      <c r="A395" s="162"/>
      <c r="B395" s="171"/>
      <c r="C395" s="151" t="s">
        <v>506</v>
      </c>
      <c r="D395" s="339"/>
      <c r="E395" s="164"/>
      <c r="F395" s="165"/>
      <c r="G395" s="172"/>
      <c r="H395" s="164"/>
      <c r="I395" s="164"/>
      <c r="J395" s="219"/>
      <c r="K395" s="217"/>
      <c r="L395" s="167"/>
      <c r="M395" s="202"/>
      <c r="N395" s="525"/>
      <c r="O395" s="203"/>
      <c r="P395" s="251"/>
      <c r="Q395" s="201"/>
      <c r="R395" s="523"/>
      <c r="S395" s="159"/>
      <c r="T395" s="391"/>
      <c r="U395" s="170"/>
    </row>
    <row r="396" spans="1:21" hidden="1" outlineLevel="2">
      <c r="A396" s="162"/>
      <c r="B396" s="171"/>
      <c r="C396" s="174" t="s">
        <v>491</v>
      </c>
      <c r="D396" s="340"/>
      <c r="E396" s="164"/>
      <c r="F396" s="165"/>
      <c r="G396" s="172"/>
      <c r="H396" s="164"/>
      <c r="I396" s="164"/>
      <c r="J396" s="219"/>
      <c r="K396" s="217"/>
      <c r="L396" s="167"/>
      <c r="M396" s="201">
        <v>200000</v>
      </c>
      <c r="N396" s="251">
        <f>M396*1.23</f>
        <v>246000</v>
      </c>
      <c r="O396" s="203"/>
      <c r="P396" s="251"/>
      <c r="Q396" s="201"/>
      <c r="R396" s="523"/>
      <c r="S396" s="159">
        <f t="shared" si="12"/>
        <v>246000</v>
      </c>
      <c r="T396" s="391"/>
      <c r="U396" s="161" t="s">
        <v>1002</v>
      </c>
    </row>
    <row r="397" spans="1:21" hidden="1" outlineLevel="2">
      <c r="A397" s="162"/>
      <c r="B397" s="171"/>
      <c r="C397" s="174" t="s">
        <v>492</v>
      </c>
      <c r="D397" s="340"/>
      <c r="E397" s="164"/>
      <c r="F397" s="165"/>
      <c r="G397" s="172"/>
      <c r="H397" s="164"/>
      <c r="I397" s="164"/>
      <c r="J397" s="219"/>
      <c r="K397" s="217"/>
      <c r="L397" s="167"/>
      <c r="M397" s="201">
        <v>500000</v>
      </c>
      <c r="N397" s="251">
        <f>M397*1.23</f>
        <v>615000</v>
      </c>
      <c r="O397" s="203"/>
      <c r="P397" s="251"/>
      <c r="Q397" s="201"/>
      <c r="R397" s="523"/>
      <c r="S397" s="159">
        <f t="shared" si="12"/>
        <v>615000</v>
      </c>
      <c r="T397" s="391"/>
      <c r="U397" s="161"/>
    </row>
    <row r="398" spans="1:21" hidden="1" outlineLevel="2">
      <c r="A398" s="162"/>
      <c r="B398" s="171"/>
      <c r="C398" s="174" t="s">
        <v>493</v>
      </c>
      <c r="D398" s="340"/>
      <c r="E398" s="164"/>
      <c r="F398" s="165"/>
      <c r="G398" s="172"/>
      <c r="H398" s="164"/>
      <c r="I398" s="164"/>
      <c r="J398" s="219"/>
      <c r="K398" s="217"/>
      <c r="L398" s="167"/>
      <c r="M398" s="202"/>
      <c r="N398" s="525"/>
      <c r="O398" s="203"/>
      <c r="P398" s="251"/>
      <c r="Q398" s="201"/>
      <c r="R398" s="523"/>
      <c r="S398" s="159"/>
      <c r="T398" s="391"/>
      <c r="U398" s="161" t="s">
        <v>1298</v>
      </c>
    </row>
    <row r="399" spans="1:21" hidden="1" outlineLevel="2">
      <c r="A399" s="162"/>
      <c r="B399" s="171"/>
      <c r="C399" s="174" t="s">
        <v>494</v>
      </c>
      <c r="D399" s="340"/>
      <c r="E399" s="164"/>
      <c r="F399" s="165"/>
      <c r="G399" s="172"/>
      <c r="H399" s="164"/>
      <c r="I399" s="164"/>
      <c r="J399" s="219"/>
      <c r="K399" s="217"/>
      <c r="L399" s="167"/>
      <c r="M399" s="202"/>
      <c r="N399" s="525"/>
      <c r="O399" s="203"/>
      <c r="P399" s="251"/>
      <c r="Q399" s="201"/>
      <c r="R399" s="523"/>
      <c r="S399" s="159"/>
      <c r="T399" s="391"/>
      <c r="U399" s="161"/>
    </row>
    <row r="400" spans="1:21" hidden="1" outlineLevel="2">
      <c r="A400" s="162"/>
      <c r="B400" s="171"/>
      <c r="C400" s="151" t="s">
        <v>507</v>
      </c>
      <c r="D400" s="339"/>
      <c r="E400" s="164"/>
      <c r="F400" s="165"/>
      <c r="G400" s="172"/>
      <c r="H400" s="164"/>
      <c r="I400" s="164"/>
      <c r="J400" s="219"/>
      <c r="K400" s="217"/>
      <c r="L400" s="167"/>
      <c r="M400" s="202"/>
      <c r="N400" s="525"/>
      <c r="O400" s="203"/>
      <c r="P400" s="251"/>
      <c r="Q400" s="201"/>
      <c r="R400" s="523"/>
      <c r="S400" s="159"/>
      <c r="T400" s="391"/>
      <c r="U400" s="161"/>
    </row>
    <row r="401" spans="1:21" hidden="1" outlineLevel="2">
      <c r="A401" s="162"/>
      <c r="B401" s="171"/>
      <c r="C401" s="174" t="s">
        <v>496</v>
      </c>
      <c r="D401" s="340"/>
      <c r="E401" s="164"/>
      <c r="F401" s="165"/>
      <c r="G401" s="172"/>
      <c r="H401" s="164"/>
      <c r="I401" s="164"/>
      <c r="J401" s="219"/>
      <c r="K401" s="217"/>
      <c r="L401" s="167"/>
      <c r="M401" s="202"/>
      <c r="N401" s="525"/>
      <c r="O401" s="203"/>
      <c r="P401" s="251"/>
      <c r="Q401" s="201"/>
      <c r="R401" s="523"/>
      <c r="S401" s="159"/>
      <c r="T401" s="391"/>
      <c r="U401" s="161" t="s">
        <v>562</v>
      </c>
    </row>
    <row r="402" spans="1:21" hidden="1" outlineLevel="2">
      <c r="A402" s="162"/>
      <c r="B402" s="171"/>
      <c r="C402" s="174" t="s">
        <v>497</v>
      </c>
      <c r="D402" s="340"/>
      <c r="E402" s="164"/>
      <c r="F402" s="165"/>
      <c r="G402" s="172"/>
      <c r="H402" s="164"/>
      <c r="I402" s="164"/>
      <c r="J402" s="219"/>
      <c r="K402" s="217"/>
      <c r="L402" s="167"/>
      <c r="M402" s="202"/>
      <c r="N402" s="525"/>
      <c r="O402" s="203"/>
      <c r="P402" s="251"/>
      <c r="Q402" s="201"/>
      <c r="R402" s="523"/>
      <c r="S402" s="159"/>
      <c r="T402" s="391"/>
      <c r="U402" s="161"/>
    </row>
    <row r="403" spans="1:21" hidden="1" outlineLevel="2">
      <c r="A403" s="162"/>
      <c r="B403" s="171"/>
      <c r="C403" s="174" t="s">
        <v>499</v>
      </c>
      <c r="D403" s="340"/>
      <c r="E403" s="164"/>
      <c r="F403" s="165"/>
      <c r="G403" s="172"/>
      <c r="H403" s="164"/>
      <c r="I403" s="164"/>
      <c r="J403" s="219"/>
      <c r="K403" s="217"/>
      <c r="L403" s="167"/>
      <c r="M403" s="202"/>
      <c r="N403" s="525"/>
      <c r="O403" s="203"/>
      <c r="P403" s="251"/>
      <c r="Q403" s="201"/>
      <c r="R403" s="523"/>
      <c r="S403" s="159"/>
      <c r="T403" s="391"/>
      <c r="U403" s="161"/>
    </row>
    <row r="404" spans="1:21" hidden="1" outlineLevel="2">
      <c r="A404" s="162"/>
      <c r="B404" s="171"/>
      <c r="C404" s="174" t="s">
        <v>526</v>
      </c>
      <c r="D404" s="340"/>
      <c r="E404" s="164"/>
      <c r="F404" s="165"/>
      <c r="G404" s="172"/>
      <c r="H404" s="164"/>
      <c r="I404" s="164"/>
      <c r="J404" s="219"/>
      <c r="K404" s="217"/>
      <c r="L404" s="167"/>
      <c r="M404" s="202"/>
      <c r="N404" s="525"/>
      <c r="O404" s="203"/>
      <c r="P404" s="251"/>
      <c r="Q404" s="201"/>
      <c r="R404" s="523"/>
      <c r="S404" s="159"/>
      <c r="T404" s="391"/>
      <c r="U404" s="161" t="s">
        <v>1299</v>
      </c>
    </row>
    <row r="405" spans="1:21" hidden="1" outlineLevel="2">
      <c r="A405" s="162"/>
      <c r="B405" s="171"/>
      <c r="C405" s="174" t="s">
        <v>536</v>
      </c>
      <c r="D405" s="340"/>
      <c r="E405" s="164"/>
      <c r="F405" s="165"/>
      <c r="G405" s="172"/>
      <c r="H405" s="164"/>
      <c r="I405" s="164"/>
      <c r="J405" s="219"/>
      <c r="K405" s="217"/>
      <c r="L405" s="167"/>
      <c r="M405" s="202"/>
      <c r="N405" s="251"/>
      <c r="O405" s="202">
        <v>15000000</v>
      </c>
      <c r="P405" s="251">
        <f t="shared" ref="P405:P406" si="14">O405*1.46</f>
        <v>21900000</v>
      </c>
      <c r="Q405" s="201"/>
      <c r="R405" s="523"/>
      <c r="S405" s="159">
        <f t="shared" si="12"/>
        <v>21900000</v>
      </c>
      <c r="T405" s="391"/>
      <c r="U405" s="161"/>
    </row>
    <row r="406" spans="1:21" s="135" customFormat="1" hidden="1" outlineLevel="1" collapsed="1">
      <c r="A406" s="229"/>
      <c r="B406" s="151"/>
      <c r="C406" s="151" t="s">
        <v>555</v>
      </c>
      <c r="D406" s="339"/>
      <c r="E406" s="244"/>
      <c r="F406" s="248"/>
      <c r="G406" s="249"/>
      <c r="H406" s="244"/>
      <c r="I406" s="244"/>
      <c r="J406" s="251"/>
      <c r="K406" s="252"/>
      <c r="L406" s="226"/>
      <c r="M406" s="202">
        <f>SUM(M390:M405)</f>
        <v>700000</v>
      </c>
      <c r="N406" s="251">
        <f>M406*1.23</f>
        <v>861000</v>
      </c>
      <c r="O406" s="203">
        <f>SUM(O379:O405)</f>
        <v>15825000</v>
      </c>
      <c r="P406" s="251">
        <f t="shared" si="14"/>
        <v>23104500</v>
      </c>
      <c r="Q406" s="201"/>
      <c r="R406" s="523"/>
      <c r="S406" s="159">
        <f t="shared" si="12"/>
        <v>23965500</v>
      </c>
      <c r="T406" s="391" t="s">
        <v>360</v>
      </c>
      <c r="U406" s="263"/>
    </row>
    <row r="407" spans="1:21" hidden="1" outlineLevel="2">
      <c r="A407" s="162"/>
      <c r="B407" s="151" t="s">
        <v>556</v>
      </c>
      <c r="C407" s="171"/>
      <c r="D407" s="345"/>
      <c r="E407" s="164"/>
      <c r="F407" s="165"/>
      <c r="G407" s="172"/>
      <c r="H407" s="164"/>
      <c r="I407" s="164"/>
      <c r="J407" s="219"/>
      <c r="K407" s="217"/>
      <c r="L407" s="167"/>
      <c r="M407" s="202"/>
      <c r="N407" s="251"/>
      <c r="O407" s="203"/>
      <c r="P407" s="251"/>
      <c r="Q407" s="201"/>
      <c r="R407" s="523"/>
      <c r="S407" s="159"/>
      <c r="T407" s="391"/>
      <c r="U407" s="170"/>
    </row>
    <row r="408" spans="1:21" hidden="1" outlineLevel="2">
      <c r="A408" s="162"/>
      <c r="B408" s="171"/>
      <c r="C408" s="151" t="s">
        <v>503</v>
      </c>
      <c r="D408" s="339"/>
      <c r="E408" s="164"/>
      <c r="F408" s="165"/>
      <c r="G408" s="172"/>
      <c r="H408" s="164"/>
      <c r="I408" s="164"/>
      <c r="J408" s="219"/>
      <c r="K408" s="217"/>
      <c r="L408" s="167"/>
      <c r="M408" s="202"/>
      <c r="N408" s="251"/>
      <c r="O408" s="203"/>
      <c r="P408" s="251"/>
      <c r="Q408" s="201"/>
      <c r="R408" s="523"/>
      <c r="S408" s="159"/>
      <c r="T408" s="391"/>
      <c r="U408" s="170"/>
    </row>
    <row r="409" spans="1:21" hidden="1" outlineLevel="2">
      <c r="A409" s="162"/>
      <c r="B409" s="171"/>
      <c r="C409" s="174" t="s">
        <v>477</v>
      </c>
      <c r="D409" s="340"/>
      <c r="E409" s="164"/>
      <c r="F409" s="165"/>
      <c r="G409" s="172"/>
      <c r="H409" s="164"/>
      <c r="I409" s="164"/>
      <c r="J409" s="219"/>
      <c r="K409" s="217"/>
      <c r="L409" s="167"/>
      <c r="M409" s="202">
        <v>200000</v>
      </c>
      <c r="N409" s="251">
        <f>M409*1.23</f>
        <v>246000</v>
      </c>
      <c r="O409" s="203"/>
      <c r="P409" s="251"/>
      <c r="Q409" s="201"/>
      <c r="R409" s="523"/>
      <c r="S409" s="159">
        <f t="shared" ref="S409:S434" si="15">SUM(L409,N409,P409,R409)</f>
        <v>246000</v>
      </c>
      <c r="T409" s="391"/>
      <c r="U409" s="170"/>
    </row>
    <row r="410" spans="1:21" hidden="1" outlineLevel="2">
      <c r="A410" s="162"/>
      <c r="B410" s="171"/>
      <c r="C410" s="174" t="s">
        <v>478</v>
      </c>
      <c r="D410" s="340"/>
      <c r="E410" s="164"/>
      <c r="F410" s="165"/>
      <c r="G410" s="172"/>
      <c r="H410" s="164"/>
      <c r="I410" s="164"/>
      <c r="J410" s="219"/>
      <c r="K410" s="217">
        <f>CIP!$AV$134</f>
        <v>0</v>
      </c>
      <c r="L410" s="167">
        <f>SUM(G410:K410)</f>
        <v>0</v>
      </c>
      <c r="M410" s="202">
        <v>2200000</v>
      </c>
      <c r="N410" s="251">
        <f>M410*1.23</f>
        <v>2706000</v>
      </c>
      <c r="O410" s="203"/>
      <c r="P410" s="251"/>
      <c r="Q410" s="201" t="s">
        <v>514</v>
      </c>
      <c r="R410" s="523"/>
      <c r="S410" s="159">
        <f t="shared" si="15"/>
        <v>2706000</v>
      </c>
      <c r="T410" s="391"/>
      <c r="U410" s="170"/>
    </row>
    <row r="411" spans="1:21" hidden="1" outlineLevel="2">
      <c r="A411" s="162"/>
      <c r="B411" s="171"/>
      <c r="C411" s="174" t="s">
        <v>479</v>
      </c>
      <c r="D411" s="340"/>
      <c r="E411" s="164"/>
      <c r="F411" s="165"/>
      <c r="G411" s="172"/>
      <c r="H411" s="164"/>
      <c r="I411" s="164"/>
      <c r="J411" s="219"/>
      <c r="K411" s="217"/>
      <c r="L411" s="167"/>
      <c r="M411" s="202">
        <v>1500000</v>
      </c>
      <c r="N411" s="251">
        <f>M411*1.23</f>
        <v>1845000</v>
      </c>
      <c r="O411" s="203"/>
      <c r="P411" s="251"/>
      <c r="Q411" s="201" t="s">
        <v>514</v>
      </c>
      <c r="R411" s="523"/>
      <c r="S411" s="159">
        <f t="shared" si="15"/>
        <v>1845000</v>
      </c>
      <c r="T411" s="391"/>
      <c r="U411" s="170" t="s">
        <v>557</v>
      </c>
    </row>
    <row r="412" spans="1:21" hidden="1" outlineLevel="2">
      <c r="A412" s="162"/>
      <c r="B412" s="171"/>
      <c r="C412" s="174" t="s">
        <v>480</v>
      </c>
      <c r="D412" s="340"/>
      <c r="E412" s="164"/>
      <c r="F412" s="165"/>
      <c r="G412" s="172"/>
      <c r="H412" s="164"/>
      <c r="I412" s="164"/>
      <c r="J412" s="219"/>
      <c r="K412" s="217"/>
      <c r="L412" s="167"/>
      <c r="M412" s="202">
        <v>300000</v>
      </c>
      <c r="N412" s="251">
        <f>M412*1.23</f>
        <v>369000</v>
      </c>
      <c r="O412" s="203"/>
      <c r="P412" s="251"/>
      <c r="Q412" s="201">
        <v>150000</v>
      </c>
      <c r="R412" s="523">
        <f>Q412*1.73</f>
        <v>259500</v>
      </c>
      <c r="S412" s="159">
        <f t="shared" si="15"/>
        <v>628500</v>
      </c>
      <c r="T412" s="391"/>
      <c r="U412" s="170" t="s">
        <v>514</v>
      </c>
    </row>
    <row r="413" spans="1:21" hidden="1" outlineLevel="2">
      <c r="A413" s="162"/>
      <c r="B413" s="171"/>
      <c r="C413" s="174" t="s">
        <v>481</v>
      </c>
      <c r="D413" s="340"/>
      <c r="E413" s="164"/>
      <c r="F413" s="165"/>
      <c r="G413" s="172"/>
      <c r="H413" s="164"/>
      <c r="I413" s="164"/>
      <c r="J413" s="219"/>
      <c r="K413" s="217"/>
      <c r="L413" s="167"/>
      <c r="M413" s="202"/>
      <c r="N413" s="251"/>
      <c r="O413" s="203"/>
      <c r="P413" s="251"/>
      <c r="Q413" s="201"/>
      <c r="R413" s="523"/>
      <c r="S413" s="159"/>
      <c r="T413" s="391"/>
      <c r="U413" s="170" t="s">
        <v>1300</v>
      </c>
    </row>
    <row r="414" spans="1:21" hidden="1" outlineLevel="2">
      <c r="A414" s="162"/>
      <c r="B414" s="171"/>
      <c r="C414" s="151" t="s">
        <v>504</v>
      </c>
      <c r="D414" s="339"/>
      <c r="E414" s="164"/>
      <c r="F414" s="165"/>
      <c r="G414" s="172"/>
      <c r="H414" s="164"/>
      <c r="I414" s="164"/>
      <c r="J414" s="219"/>
      <c r="K414" s="217"/>
      <c r="L414" s="167"/>
      <c r="M414" s="202"/>
      <c r="N414" s="251"/>
      <c r="O414" s="203"/>
      <c r="P414" s="251"/>
      <c r="Q414" s="201"/>
      <c r="R414" s="523"/>
      <c r="S414" s="159"/>
      <c r="T414" s="391"/>
      <c r="U414" s="170"/>
    </row>
    <row r="415" spans="1:21" hidden="1" outlineLevel="2">
      <c r="A415" s="162"/>
      <c r="B415" s="171"/>
      <c r="C415" s="174" t="s">
        <v>483</v>
      </c>
      <c r="D415" s="340"/>
      <c r="E415" s="164"/>
      <c r="F415" s="165"/>
      <c r="G415" s="172"/>
      <c r="H415" s="164"/>
      <c r="I415" s="164"/>
      <c r="J415" s="219"/>
      <c r="K415" s="217"/>
      <c r="L415" s="167"/>
      <c r="M415" s="202"/>
      <c r="N415" s="251"/>
      <c r="O415" s="203"/>
      <c r="P415" s="251"/>
      <c r="Q415" s="201">
        <v>500000</v>
      </c>
      <c r="R415" s="523">
        <f>Q415*1.73</f>
        <v>865000</v>
      </c>
      <c r="S415" s="159">
        <f t="shared" si="15"/>
        <v>865000</v>
      </c>
      <c r="T415" s="391"/>
      <c r="U415" s="170"/>
    </row>
    <row r="416" spans="1:21" hidden="1" outlineLevel="2">
      <c r="A416" s="162"/>
      <c r="B416" s="171"/>
      <c r="C416" s="174" t="s">
        <v>484</v>
      </c>
      <c r="D416" s="340"/>
      <c r="E416" s="164"/>
      <c r="F416" s="165"/>
      <c r="G416" s="172"/>
      <c r="H416" s="164"/>
      <c r="I416" s="164"/>
      <c r="J416" s="219"/>
      <c r="K416" s="217"/>
      <c r="L416" s="167"/>
      <c r="M416" s="202"/>
      <c r="N416" s="251"/>
      <c r="O416" s="203"/>
      <c r="P416" s="251"/>
      <c r="Q416" s="201"/>
      <c r="R416" s="523"/>
      <c r="S416" s="159"/>
      <c r="T416" s="391"/>
      <c r="U416" s="170"/>
    </row>
    <row r="417" spans="1:21" hidden="1" outlineLevel="2">
      <c r="A417" s="162"/>
      <c r="B417" s="171"/>
      <c r="C417" s="174" t="s">
        <v>479</v>
      </c>
      <c r="D417" s="340"/>
      <c r="E417" s="164"/>
      <c r="F417" s="165"/>
      <c r="G417" s="172"/>
      <c r="H417" s="164"/>
      <c r="I417" s="164"/>
      <c r="J417" s="219"/>
      <c r="K417" s="217"/>
      <c r="L417" s="167"/>
      <c r="M417" s="202"/>
      <c r="N417" s="251"/>
      <c r="O417" s="203"/>
      <c r="P417" s="251"/>
      <c r="Q417" s="201"/>
      <c r="R417" s="523"/>
      <c r="S417" s="159"/>
      <c r="T417" s="391"/>
      <c r="U417" s="170"/>
    </row>
    <row r="418" spans="1:21" hidden="1" outlineLevel="2">
      <c r="A418" s="162"/>
      <c r="B418" s="171"/>
      <c r="C418" s="174" t="s">
        <v>485</v>
      </c>
      <c r="D418" s="340"/>
      <c r="E418" s="164"/>
      <c r="F418" s="165"/>
      <c r="G418" s="172"/>
      <c r="H418" s="164"/>
      <c r="I418" s="164"/>
      <c r="J418" s="219"/>
      <c r="K418" s="217"/>
      <c r="L418" s="167"/>
      <c r="M418" s="205">
        <v>150000</v>
      </c>
      <c r="N418" s="251">
        <f>M418*1.23</f>
        <v>184500</v>
      </c>
      <c r="O418" s="202"/>
      <c r="P418" s="251"/>
      <c r="Q418" s="201"/>
      <c r="R418" s="523"/>
      <c r="S418" s="159">
        <f t="shared" si="15"/>
        <v>184500</v>
      </c>
      <c r="T418" s="391"/>
      <c r="U418" s="170"/>
    </row>
    <row r="419" spans="1:21" hidden="1" outlineLevel="2">
      <c r="A419" s="162"/>
      <c r="B419" s="171"/>
      <c r="C419" s="151" t="s">
        <v>505</v>
      </c>
      <c r="D419" s="339"/>
      <c r="E419" s="164"/>
      <c r="F419" s="165"/>
      <c r="G419" s="172"/>
      <c r="H419" s="164"/>
      <c r="I419" s="164"/>
      <c r="J419" s="219"/>
      <c r="K419" s="217"/>
      <c r="L419" s="167"/>
      <c r="M419" s="202"/>
      <c r="N419" s="251"/>
      <c r="O419" s="203"/>
      <c r="P419" s="251"/>
      <c r="Q419" s="201"/>
      <c r="R419" s="523"/>
      <c r="S419" s="159"/>
      <c r="T419" s="391"/>
      <c r="U419" s="170"/>
    </row>
    <row r="420" spans="1:21" hidden="1" outlineLevel="2">
      <c r="A420" s="162"/>
      <c r="B420" s="171"/>
      <c r="C420" s="174" t="s">
        <v>487</v>
      </c>
      <c r="D420" s="340"/>
      <c r="E420" s="164"/>
      <c r="F420" s="165"/>
      <c r="G420" s="172"/>
      <c r="H420" s="164"/>
      <c r="I420" s="164"/>
      <c r="J420" s="219"/>
      <c r="K420" s="217"/>
      <c r="L420" s="167"/>
      <c r="M420" s="202"/>
      <c r="N420" s="251"/>
      <c r="O420" s="203"/>
      <c r="P420" s="251"/>
      <c r="Q420" s="201"/>
      <c r="R420" s="523"/>
      <c r="S420" s="159"/>
      <c r="T420" s="391"/>
      <c r="U420" s="170"/>
    </row>
    <row r="421" spans="1:21" hidden="1" outlineLevel="2">
      <c r="A421" s="162"/>
      <c r="B421" s="171"/>
      <c r="C421" s="174" t="s">
        <v>479</v>
      </c>
      <c r="D421" s="340"/>
      <c r="E421" s="164"/>
      <c r="F421" s="165"/>
      <c r="G421" s="172"/>
      <c r="H421" s="164"/>
      <c r="I421" s="164"/>
      <c r="J421" s="219"/>
      <c r="K421" s="217"/>
      <c r="L421" s="167"/>
      <c r="M421" s="202"/>
      <c r="N421" s="251"/>
      <c r="O421" s="203"/>
      <c r="P421" s="251"/>
      <c r="Q421" s="201"/>
      <c r="R421" s="523"/>
      <c r="S421" s="159"/>
      <c r="T421" s="391"/>
      <c r="U421" s="170"/>
    </row>
    <row r="422" spans="1:21" hidden="1" outlineLevel="2">
      <c r="A422" s="162"/>
      <c r="B422" s="171"/>
      <c r="C422" s="174" t="s">
        <v>488</v>
      </c>
      <c r="D422" s="340"/>
      <c r="E422" s="164"/>
      <c r="F422" s="165"/>
      <c r="G422" s="172"/>
      <c r="H422" s="164"/>
      <c r="I422" s="164"/>
      <c r="J422" s="219"/>
      <c r="K422" s="217"/>
      <c r="L422" s="167"/>
      <c r="M422" s="202"/>
      <c r="N422" s="251"/>
      <c r="O422" s="203"/>
      <c r="P422" s="251"/>
      <c r="Q422" s="201"/>
      <c r="R422" s="523"/>
      <c r="S422" s="159"/>
      <c r="T422" s="391"/>
      <c r="U422" s="170"/>
    </row>
    <row r="423" spans="1:21" hidden="1" outlineLevel="2">
      <c r="A423" s="162"/>
      <c r="B423" s="171"/>
      <c r="C423" s="174" t="s">
        <v>489</v>
      </c>
      <c r="D423" s="340"/>
      <c r="E423" s="164"/>
      <c r="F423" s="165"/>
      <c r="G423" s="172"/>
      <c r="H423" s="164"/>
      <c r="I423" s="164"/>
      <c r="J423" s="217"/>
      <c r="K423" s="440">
        <f>CIP!$AV$126</f>
        <v>0</v>
      </c>
      <c r="L423" s="167">
        <f>SUM(G423:K423)</f>
        <v>0</v>
      </c>
      <c r="M423" s="205"/>
      <c r="N423" s="251"/>
      <c r="O423" s="203"/>
      <c r="P423" s="251"/>
      <c r="Q423" s="201"/>
      <c r="R423" s="523"/>
      <c r="S423" s="159">
        <f t="shared" si="15"/>
        <v>0</v>
      </c>
      <c r="T423" s="391"/>
      <c r="U423" s="170" t="s">
        <v>1301</v>
      </c>
    </row>
    <row r="424" spans="1:21" hidden="1" outlineLevel="2">
      <c r="A424" s="162"/>
      <c r="B424" s="171"/>
      <c r="C424" s="151" t="s">
        <v>506</v>
      </c>
      <c r="D424" s="339"/>
      <c r="E424" s="164"/>
      <c r="F424" s="165"/>
      <c r="G424" s="172"/>
      <c r="H424" s="164"/>
      <c r="I424" s="164"/>
      <c r="J424" s="219"/>
      <c r="K424" s="217"/>
      <c r="L424" s="167"/>
      <c r="M424" s="202"/>
      <c r="N424" s="251"/>
      <c r="O424" s="203"/>
      <c r="P424" s="251"/>
      <c r="Q424" s="201"/>
      <c r="R424" s="523"/>
      <c r="S424" s="159"/>
      <c r="T424" s="391"/>
      <c r="U424" s="170"/>
    </row>
    <row r="425" spans="1:21" hidden="1" outlineLevel="2">
      <c r="A425" s="162"/>
      <c r="B425" s="171"/>
      <c r="C425" s="174" t="s">
        <v>491</v>
      </c>
      <c r="D425" s="340"/>
      <c r="E425" s="164"/>
      <c r="F425" s="165"/>
      <c r="G425" s="172"/>
      <c r="H425" s="164"/>
      <c r="I425" s="164"/>
      <c r="J425" s="219"/>
      <c r="K425" s="217"/>
      <c r="L425" s="167"/>
      <c r="M425" s="202"/>
      <c r="N425" s="251"/>
      <c r="O425" s="203">
        <v>1500000</v>
      </c>
      <c r="P425" s="251">
        <f>O425*1.46</f>
        <v>2190000</v>
      </c>
      <c r="Q425" s="201"/>
      <c r="R425" s="523"/>
      <c r="S425" s="159">
        <f t="shared" si="15"/>
        <v>2190000</v>
      </c>
      <c r="T425" s="391"/>
      <c r="U425" s="170"/>
    </row>
    <row r="426" spans="1:21" hidden="1" outlineLevel="2">
      <c r="A426" s="162"/>
      <c r="B426" s="171"/>
      <c r="C426" s="174" t="s">
        <v>492</v>
      </c>
      <c r="D426" s="340"/>
      <c r="E426" s="164"/>
      <c r="F426" s="165"/>
      <c r="G426" s="172"/>
      <c r="H426" s="164"/>
      <c r="I426" s="164"/>
      <c r="J426" s="219"/>
      <c r="K426" s="217"/>
      <c r="L426" s="167"/>
      <c r="M426" s="202"/>
      <c r="N426" s="251"/>
      <c r="O426" s="203">
        <v>3000000</v>
      </c>
      <c r="P426" s="251">
        <f t="shared" ref="P426:P434" si="16">O426*1.46</f>
        <v>4380000</v>
      </c>
      <c r="Q426" s="201"/>
      <c r="R426" s="523"/>
      <c r="S426" s="159">
        <f t="shared" si="15"/>
        <v>4380000</v>
      </c>
      <c r="T426" s="391"/>
      <c r="U426" s="170"/>
    </row>
    <row r="427" spans="1:21" hidden="1" outlineLevel="2">
      <c r="A427" s="162"/>
      <c r="B427" s="171"/>
      <c r="C427" s="174" t="s">
        <v>493</v>
      </c>
      <c r="D427" s="340"/>
      <c r="E427" s="164"/>
      <c r="F427" s="165"/>
      <c r="G427" s="172"/>
      <c r="H427" s="164"/>
      <c r="I427" s="164"/>
      <c r="J427" s="219"/>
      <c r="K427" s="217"/>
      <c r="L427" s="167"/>
      <c r="M427" s="202"/>
      <c r="N427" s="251"/>
      <c r="O427" s="203"/>
      <c r="P427" s="251"/>
      <c r="Q427" s="201" t="s">
        <v>514</v>
      </c>
      <c r="R427" s="523"/>
      <c r="S427" s="159"/>
      <c r="T427" s="391"/>
      <c r="U427" s="170"/>
    </row>
    <row r="428" spans="1:21" hidden="1" outlineLevel="2">
      <c r="A428" s="162"/>
      <c r="B428" s="171"/>
      <c r="C428" s="174" t="s">
        <v>494</v>
      </c>
      <c r="D428" s="340"/>
      <c r="E428" s="164"/>
      <c r="F428" s="165"/>
      <c r="G428" s="172"/>
      <c r="H428" s="164"/>
      <c r="I428" s="164"/>
      <c r="J428" s="219"/>
      <c r="K428" s="217"/>
      <c r="L428" s="167"/>
      <c r="M428" s="202"/>
      <c r="N428" s="251"/>
      <c r="O428" s="203"/>
      <c r="P428" s="251"/>
      <c r="Q428" s="201"/>
      <c r="R428" s="523"/>
      <c r="S428" s="159"/>
      <c r="T428" s="391"/>
      <c r="U428" s="170"/>
    </row>
    <row r="429" spans="1:21" hidden="1" outlineLevel="2">
      <c r="A429" s="162"/>
      <c r="B429" s="171"/>
      <c r="C429" s="151" t="s">
        <v>507</v>
      </c>
      <c r="D429" s="339"/>
      <c r="E429" s="164"/>
      <c r="F429" s="165"/>
      <c r="G429" s="172"/>
      <c r="H429" s="164"/>
      <c r="I429" s="164"/>
      <c r="J429" s="219"/>
      <c r="K429" s="217"/>
      <c r="L429" s="167"/>
      <c r="M429" s="202"/>
      <c r="N429" s="251"/>
      <c r="O429" s="203"/>
      <c r="P429" s="251"/>
      <c r="Q429" s="201"/>
      <c r="R429" s="523"/>
      <c r="S429" s="159"/>
      <c r="T429" s="391"/>
      <c r="U429" s="170"/>
    </row>
    <row r="430" spans="1:21" hidden="1" outlineLevel="2">
      <c r="A430" s="162"/>
      <c r="B430" s="171"/>
      <c r="C430" s="174" t="s">
        <v>496</v>
      </c>
      <c r="D430" s="340"/>
      <c r="E430" s="164"/>
      <c r="F430" s="165"/>
      <c r="G430" s="172"/>
      <c r="H430" s="164"/>
      <c r="I430" s="164"/>
      <c r="J430" s="219"/>
      <c r="K430" s="217"/>
      <c r="L430" s="167"/>
      <c r="M430" s="202"/>
      <c r="N430" s="251"/>
      <c r="O430" s="203">
        <v>300000</v>
      </c>
      <c r="P430" s="251">
        <f t="shared" si="16"/>
        <v>438000</v>
      </c>
      <c r="Q430" s="201"/>
      <c r="R430" s="523"/>
      <c r="S430" s="159">
        <f t="shared" si="15"/>
        <v>438000</v>
      </c>
      <c r="T430" s="391"/>
      <c r="U430" s="170"/>
    </row>
    <row r="431" spans="1:21" hidden="1" outlineLevel="2">
      <c r="A431" s="162"/>
      <c r="B431" s="171"/>
      <c r="C431" s="174" t="s">
        <v>497</v>
      </c>
      <c r="D431" s="340"/>
      <c r="E431" s="164"/>
      <c r="F431" s="165"/>
      <c r="G431" s="172"/>
      <c r="H431" s="164"/>
      <c r="I431" s="164"/>
      <c r="J431" s="219"/>
      <c r="K431" s="217"/>
      <c r="L431" s="167"/>
      <c r="M431" s="202">
        <v>250000</v>
      </c>
      <c r="N431" s="251">
        <f>M431*1.23</f>
        <v>307500</v>
      </c>
      <c r="O431" s="203"/>
      <c r="P431" s="251"/>
      <c r="Q431" s="201">
        <v>150000</v>
      </c>
      <c r="R431" s="523">
        <f>Q431*1.73</f>
        <v>259500</v>
      </c>
      <c r="S431" s="159">
        <f t="shared" si="15"/>
        <v>567000</v>
      </c>
      <c r="T431" s="391"/>
      <c r="U431" s="170" t="s">
        <v>558</v>
      </c>
    </row>
    <row r="432" spans="1:21" hidden="1" outlineLevel="2">
      <c r="A432" s="162"/>
      <c r="B432" s="171"/>
      <c r="C432" s="174" t="s">
        <v>499</v>
      </c>
      <c r="D432" s="340"/>
      <c r="E432" s="164"/>
      <c r="F432" s="165"/>
      <c r="G432" s="172"/>
      <c r="H432" s="164"/>
      <c r="I432" s="164"/>
      <c r="J432" s="219"/>
      <c r="K432" s="217"/>
      <c r="L432" s="167"/>
      <c r="M432" s="202"/>
      <c r="N432" s="251"/>
      <c r="O432" s="203"/>
      <c r="P432" s="251"/>
      <c r="Q432" s="201"/>
      <c r="R432" s="523"/>
      <c r="S432" s="159"/>
      <c r="T432" s="391"/>
      <c r="U432" s="170"/>
    </row>
    <row r="433" spans="1:21" hidden="1" outlineLevel="2">
      <c r="A433" s="162"/>
      <c r="B433" s="171"/>
      <c r="C433" s="174" t="s">
        <v>559</v>
      </c>
      <c r="D433" s="340"/>
      <c r="E433" s="164"/>
      <c r="F433" s="165"/>
      <c r="G433" s="172"/>
      <c r="H433" s="164"/>
      <c r="I433" s="164"/>
      <c r="J433" s="219"/>
      <c r="K433" s="217"/>
      <c r="L433" s="167"/>
      <c r="M433" s="202"/>
      <c r="N433" s="251"/>
      <c r="O433" s="203">
        <v>15000000</v>
      </c>
      <c r="P433" s="251">
        <f t="shared" si="16"/>
        <v>21900000</v>
      </c>
      <c r="Q433" s="201"/>
      <c r="R433" s="523"/>
      <c r="S433" s="159">
        <f t="shared" si="15"/>
        <v>21900000</v>
      </c>
      <c r="T433" s="391"/>
      <c r="U433" s="170"/>
    </row>
    <row r="434" spans="1:21" hidden="1" outlineLevel="1" collapsed="1">
      <c r="A434" s="162"/>
      <c r="B434" s="171"/>
      <c r="C434" s="151" t="s">
        <v>556</v>
      </c>
      <c r="D434" s="339"/>
      <c r="E434" s="164"/>
      <c r="F434" s="165"/>
      <c r="G434" s="249"/>
      <c r="H434" s="244"/>
      <c r="I434" s="244"/>
      <c r="J434" s="251"/>
      <c r="K434" s="252">
        <f>SUM(K408:K433)</f>
        <v>0</v>
      </c>
      <c r="L434" s="226">
        <f>SUM(L409:L433)</f>
        <v>0</v>
      </c>
      <c r="M434" s="202">
        <f>SUM(M409:M433)</f>
        <v>4600000</v>
      </c>
      <c r="N434" s="251">
        <f>M434*1.23</f>
        <v>5658000</v>
      </c>
      <c r="O434" s="203">
        <f>SUM(O409:O433)</f>
        <v>19800000</v>
      </c>
      <c r="P434" s="251">
        <f t="shared" si="16"/>
        <v>28908000</v>
      </c>
      <c r="Q434" s="201">
        <f>SUM(Q409:Q433)</f>
        <v>800000</v>
      </c>
      <c r="R434" s="523">
        <f>Q434*1.73</f>
        <v>1384000</v>
      </c>
      <c r="S434" s="159">
        <f t="shared" si="15"/>
        <v>35950000</v>
      </c>
      <c r="T434" s="391" t="s">
        <v>360</v>
      </c>
      <c r="U434" s="170"/>
    </row>
    <row r="435" spans="1:21" hidden="1" outlineLevel="2">
      <c r="A435" s="162"/>
      <c r="B435" s="151" t="s">
        <v>560</v>
      </c>
      <c r="C435" s="171"/>
      <c r="D435" s="345"/>
      <c r="E435" s="164"/>
      <c r="F435" s="165"/>
      <c r="G435" s="172"/>
      <c r="H435" s="164"/>
      <c r="I435" s="164"/>
      <c r="J435" s="219"/>
      <c r="K435" s="217"/>
      <c r="L435" s="167"/>
      <c r="M435" s="202"/>
      <c r="N435" s="525"/>
      <c r="O435" s="203"/>
      <c r="P435" s="251"/>
      <c r="Q435" s="201"/>
      <c r="R435" s="523"/>
      <c r="S435" s="159"/>
      <c r="T435" s="391"/>
      <c r="U435" s="170"/>
    </row>
    <row r="436" spans="1:21" hidden="1" outlineLevel="2">
      <c r="A436" s="162"/>
      <c r="B436" s="171"/>
      <c r="C436" s="151" t="s">
        <v>503</v>
      </c>
      <c r="D436" s="339"/>
      <c r="E436" s="164"/>
      <c r="F436" s="165"/>
      <c r="G436" s="172"/>
      <c r="H436" s="164"/>
      <c r="I436" s="164"/>
      <c r="J436" s="219"/>
      <c r="K436" s="217"/>
      <c r="L436" s="167"/>
      <c r="M436" s="202"/>
      <c r="N436" s="525"/>
      <c r="O436" s="203"/>
      <c r="P436" s="251"/>
      <c r="Q436" s="201"/>
      <c r="R436" s="523"/>
      <c r="S436" s="159"/>
      <c r="T436" s="391"/>
      <c r="U436" s="170"/>
    </row>
    <row r="437" spans="1:21" hidden="1" outlineLevel="2">
      <c r="A437" s="162"/>
      <c r="B437" s="171"/>
      <c r="C437" s="174" t="s">
        <v>520</v>
      </c>
      <c r="D437" s="340"/>
      <c r="E437" s="164"/>
      <c r="F437" s="165"/>
      <c r="G437" s="172"/>
      <c r="H437" s="164"/>
      <c r="I437" s="164"/>
      <c r="J437" s="219"/>
      <c r="K437" s="217"/>
      <c r="L437" s="167"/>
      <c r="M437" s="202"/>
      <c r="N437" s="525"/>
      <c r="O437" s="203"/>
      <c r="P437" s="251"/>
      <c r="Q437" s="201"/>
      <c r="R437" s="523"/>
      <c r="S437" s="159"/>
      <c r="T437" s="391"/>
      <c r="U437" s="170"/>
    </row>
    <row r="438" spans="1:21" hidden="1" outlineLevel="2">
      <c r="A438" s="162"/>
      <c r="B438" s="171"/>
      <c r="C438" s="174" t="s">
        <v>478</v>
      </c>
      <c r="D438" s="340"/>
      <c r="E438" s="164"/>
      <c r="F438" s="165"/>
      <c r="G438" s="172"/>
      <c r="H438" s="164"/>
      <c r="I438" s="164"/>
      <c r="J438" s="219"/>
      <c r="K438" s="217"/>
      <c r="L438" s="167"/>
      <c r="M438" s="202"/>
      <c r="N438" s="525"/>
      <c r="O438" s="203"/>
      <c r="P438" s="251"/>
      <c r="Q438" s="201"/>
      <c r="R438" s="523"/>
      <c r="S438" s="159"/>
      <c r="T438" s="391"/>
      <c r="U438" s="170"/>
    </row>
    <row r="439" spans="1:21" hidden="1" outlineLevel="2">
      <c r="A439" s="162"/>
      <c r="B439" s="171"/>
      <c r="C439" s="174" t="s">
        <v>479</v>
      </c>
      <c r="D439" s="340"/>
      <c r="E439" s="164"/>
      <c r="F439" s="165"/>
      <c r="G439" s="172"/>
      <c r="H439" s="164"/>
      <c r="I439" s="164"/>
      <c r="J439" s="219"/>
      <c r="K439" s="217"/>
      <c r="L439" s="220"/>
      <c r="M439" s="204">
        <v>250000</v>
      </c>
      <c r="N439" s="251">
        <f>M439*1.23</f>
        <v>307500</v>
      </c>
      <c r="O439" s="203"/>
      <c r="P439" s="251"/>
      <c r="Q439" s="201"/>
      <c r="R439" s="523"/>
      <c r="S439" s="159">
        <f t="shared" ref="S439:S463" si="17">SUM(L439,N439,P439,R439)</f>
        <v>307500</v>
      </c>
      <c r="T439" s="391"/>
      <c r="U439" s="170"/>
    </row>
    <row r="440" spans="1:21" hidden="1" outlineLevel="2">
      <c r="A440" s="162"/>
      <c r="B440" s="171"/>
      <c r="C440" s="174" t="s">
        <v>480</v>
      </c>
      <c r="D440" s="340"/>
      <c r="E440" s="164"/>
      <c r="F440" s="165"/>
      <c r="G440" s="172"/>
      <c r="H440" s="164"/>
      <c r="I440" s="164"/>
      <c r="J440" s="219"/>
      <c r="K440" s="217"/>
      <c r="L440" s="167"/>
      <c r="M440" s="202">
        <v>200000</v>
      </c>
      <c r="N440" s="251">
        <f>M440*1.23</f>
        <v>246000</v>
      </c>
      <c r="O440" s="203"/>
      <c r="P440" s="251"/>
      <c r="Q440" s="201"/>
      <c r="R440" s="523"/>
      <c r="S440" s="159">
        <f t="shared" si="17"/>
        <v>246000</v>
      </c>
      <c r="T440" s="391"/>
      <c r="U440" s="170" t="s">
        <v>561</v>
      </c>
    </row>
    <row r="441" spans="1:21" hidden="1" outlineLevel="2">
      <c r="A441" s="162"/>
      <c r="B441" s="171"/>
      <c r="C441" s="174" t="s">
        <v>512</v>
      </c>
      <c r="D441" s="340"/>
      <c r="E441" s="164"/>
      <c r="F441" s="165"/>
      <c r="G441" s="172"/>
      <c r="H441" s="164"/>
      <c r="I441" s="164"/>
      <c r="J441" s="219"/>
      <c r="K441" s="217"/>
      <c r="L441" s="167"/>
      <c r="M441" s="202"/>
      <c r="N441" s="525"/>
      <c r="O441" s="203"/>
      <c r="P441" s="251"/>
      <c r="Q441" s="201"/>
      <c r="R441" s="523"/>
      <c r="S441" s="159"/>
      <c r="T441" s="391"/>
      <c r="U441" s="161" t="s">
        <v>1144</v>
      </c>
    </row>
    <row r="442" spans="1:21" hidden="1" outlineLevel="2">
      <c r="A442" s="162"/>
      <c r="B442" s="171"/>
      <c r="C442" s="151" t="s">
        <v>504</v>
      </c>
      <c r="D442" s="339"/>
      <c r="E442" s="164"/>
      <c r="F442" s="165"/>
      <c r="G442" s="172"/>
      <c r="H442" s="164"/>
      <c r="I442" s="164"/>
      <c r="J442" s="219"/>
      <c r="K442" s="217"/>
      <c r="L442" s="167"/>
      <c r="M442" s="202"/>
      <c r="N442" s="525"/>
      <c r="O442" s="203"/>
      <c r="P442" s="251"/>
      <c r="Q442" s="201"/>
      <c r="R442" s="523"/>
      <c r="S442" s="159"/>
      <c r="T442" s="391"/>
      <c r="U442" s="161"/>
    </row>
    <row r="443" spans="1:21" hidden="1" outlineLevel="2">
      <c r="A443" s="162"/>
      <c r="B443" s="171"/>
      <c r="C443" s="174" t="s">
        <v>483</v>
      </c>
      <c r="D443" s="340"/>
      <c r="E443" s="164"/>
      <c r="F443" s="165"/>
      <c r="G443" s="172"/>
      <c r="H443" s="164"/>
      <c r="I443" s="164"/>
      <c r="J443" s="219"/>
      <c r="K443" s="217"/>
      <c r="L443" s="167"/>
      <c r="M443" s="201">
        <v>125000</v>
      </c>
      <c r="N443" s="251">
        <f>M443*1.23</f>
        <v>153750</v>
      </c>
      <c r="O443" s="203"/>
      <c r="P443" s="251"/>
      <c r="Q443" s="201"/>
      <c r="R443" s="523"/>
      <c r="S443" s="159">
        <f t="shared" si="17"/>
        <v>153750</v>
      </c>
      <c r="T443" s="391"/>
      <c r="U443" s="161"/>
    </row>
    <row r="444" spans="1:21" hidden="1" outlineLevel="2">
      <c r="A444" s="162"/>
      <c r="B444" s="171"/>
      <c r="C444" s="174" t="s">
        <v>484</v>
      </c>
      <c r="D444" s="340"/>
      <c r="E444" s="164"/>
      <c r="F444" s="165"/>
      <c r="G444" s="172"/>
      <c r="H444" s="164"/>
      <c r="I444" s="164"/>
      <c r="J444" s="219"/>
      <c r="K444" s="217"/>
      <c r="L444" s="167"/>
      <c r="M444" s="202">
        <v>200000</v>
      </c>
      <c r="N444" s="251">
        <f>M444*1.23</f>
        <v>246000</v>
      </c>
      <c r="O444" s="203"/>
      <c r="P444" s="251"/>
      <c r="Q444" s="201"/>
      <c r="R444" s="523"/>
      <c r="S444" s="159">
        <f t="shared" si="17"/>
        <v>246000</v>
      </c>
      <c r="T444" s="391"/>
      <c r="U444" s="161"/>
    </row>
    <row r="445" spans="1:21" hidden="1" outlineLevel="2">
      <c r="A445" s="162"/>
      <c r="B445" s="171"/>
      <c r="C445" s="174" t="s">
        <v>479</v>
      </c>
      <c r="D445" s="340"/>
      <c r="E445" s="164"/>
      <c r="F445" s="165"/>
      <c r="G445" s="172"/>
      <c r="H445" s="164"/>
      <c r="I445" s="164"/>
      <c r="J445" s="219"/>
      <c r="K445" s="217"/>
      <c r="L445" s="167"/>
      <c r="M445" s="202"/>
      <c r="N445" s="525"/>
      <c r="O445" s="203"/>
      <c r="P445" s="251"/>
      <c r="Q445" s="201"/>
      <c r="R445" s="523"/>
      <c r="S445" s="159"/>
      <c r="T445" s="391"/>
      <c r="U445" s="161"/>
    </row>
    <row r="446" spans="1:21" hidden="1" outlineLevel="2">
      <c r="A446" s="162"/>
      <c r="B446" s="171"/>
      <c r="C446" s="174" t="s">
        <v>485</v>
      </c>
      <c r="D446" s="340"/>
      <c r="E446" s="164"/>
      <c r="F446" s="165"/>
      <c r="G446" s="172"/>
      <c r="H446" s="164"/>
      <c r="I446" s="164"/>
      <c r="J446" s="219"/>
      <c r="K446" s="217"/>
      <c r="L446" s="167"/>
      <c r="M446" s="202"/>
      <c r="N446" s="525"/>
      <c r="O446" s="203"/>
      <c r="P446" s="251"/>
      <c r="Q446" s="201"/>
      <c r="R446" s="523"/>
      <c r="S446" s="159"/>
      <c r="T446" s="391"/>
      <c r="U446" s="161" t="s">
        <v>535</v>
      </c>
    </row>
    <row r="447" spans="1:21" hidden="1" outlineLevel="2">
      <c r="A447" s="162"/>
      <c r="B447" s="171"/>
      <c r="C447" s="151" t="s">
        <v>505</v>
      </c>
      <c r="D447" s="339"/>
      <c r="E447" s="164"/>
      <c r="F447" s="165"/>
      <c r="G447" s="172"/>
      <c r="H447" s="164"/>
      <c r="I447" s="164"/>
      <c r="J447" s="219"/>
      <c r="K447" s="217"/>
      <c r="L447" s="167"/>
      <c r="M447" s="202"/>
      <c r="N447" s="525"/>
      <c r="O447" s="203"/>
      <c r="P447" s="251"/>
      <c r="Q447" s="201"/>
      <c r="R447" s="523"/>
      <c r="S447" s="159"/>
      <c r="T447" s="391"/>
      <c r="U447" s="161"/>
    </row>
    <row r="448" spans="1:21" hidden="1" outlineLevel="2">
      <c r="A448" s="162"/>
      <c r="B448" s="171"/>
      <c r="C448" s="174" t="s">
        <v>487</v>
      </c>
      <c r="D448" s="340"/>
      <c r="E448" s="164"/>
      <c r="F448" s="165"/>
      <c r="G448" s="172"/>
      <c r="H448" s="164"/>
      <c r="I448" s="164"/>
      <c r="J448" s="219"/>
      <c r="K448" s="217"/>
      <c r="L448" s="167"/>
      <c r="M448" s="202"/>
      <c r="N448" s="525"/>
      <c r="O448" s="203"/>
      <c r="P448" s="251"/>
      <c r="Q448" s="201"/>
      <c r="R448" s="523"/>
      <c r="S448" s="159"/>
      <c r="T448" s="391"/>
      <c r="U448" s="161"/>
    </row>
    <row r="449" spans="1:21" hidden="1" outlineLevel="2">
      <c r="A449" s="162"/>
      <c r="B449" s="171"/>
      <c r="C449" s="174" t="s">
        <v>479</v>
      </c>
      <c r="D449" s="340"/>
      <c r="E449" s="164"/>
      <c r="F449" s="165"/>
      <c r="G449" s="172"/>
      <c r="H449" s="164"/>
      <c r="I449" s="164"/>
      <c r="J449" s="219"/>
      <c r="K449" s="217"/>
      <c r="L449" s="167"/>
      <c r="M449" s="202"/>
      <c r="N449" s="525"/>
      <c r="O449" s="203"/>
      <c r="P449" s="251"/>
      <c r="Q449" s="201"/>
      <c r="R449" s="523"/>
      <c r="S449" s="159"/>
      <c r="T449" s="391"/>
      <c r="U449" s="161"/>
    </row>
    <row r="450" spans="1:21" hidden="1" outlineLevel="2">
      <c r="A450" s="162"/>
      <c r="B450" s="171"/>
      <c r="C450" s="174" t="s">
        <v>488</v>
      </c>
      <c r="D450" s="340"/>
      <c r="E450" s="164"/>
      <c r="F450" s="165"/>
      <c r="G450" s="172"/>
      <c r="H450" s="164"/>
      <c r="I450" s="164"/>
      <c r="J450" s="219"/>
      <c r="K450" s="217"/>
      <c r="L450" s="167"/>
      <c r="M450" s="202">
        <v>185000</v>
      </c>
      <c r="N450" s="251">
        <f>M450*1.23</f>
        <v>227550</v>
      </c>
      <c r="O450" s="203"/>
      <c r="P450" s="251"/>
      <c r="Q450" s="201"/>
      <c r="R450" s="523"/>
      <c r="S450" s="159">
        <f t="shared" si="17"/>
        <v>227550</v>
      </c>
      <c r="T450" s="391"/>
      <c r="U450" s="161"/>
    </row>
    <row r="451" spans="1:21" hidden="1" outlineLevel="2">
      <c r="A451" s="162"/>
      <c r="B451" s="171"/>
      <c r="C451" s="174" t="s">
        <v>489</v>
      </c>
      <c r="D451" s="340"/>
      <c r="E451" s="164"/>
      <c r="F451" s="165"/>
      <c r="G451" s="172"/>
      <c r="H451" s="164"/>
      <c r="I451" s="164"/>
      <c r="J451" s="219"/>
      <c r="K451" s="217"/>
      <c r="L451" s="167"/>
      <c r="M451" s="202"/>
      <c r="N451" s="525"/>
      <c r="O451" s="203"/>
      <c r="P451" s="251"/>
      <c r="Q451" s="201"/>
      <c r="R451" s="523"/>
      <c r="S451" s="159"/>
      <c r="T451" s="391"/>
      <c r="U451" s="161" t="s">
        <v>562</v>
      </c>
    </row>
    <row r="452" spans="1:21" hidden="1" outlineLevel="2">
      <c r="A452" s="162"/>
      <c r="B452" s="171"/>
      <c r="C452" s="151" t="s">
        <v>506</v>
      </c>
      <c r="D452" s="339"/>
      <c r="E452" s="164"/>
      <c r="F452" s="165"/>
      <c r="G452" s="172"/>
      <c r="H452" s="164"/>
      <c r="I452" s="164"/>
      <c r="J452" s="219"/>
      <c r="K452" s="217"/>
      <c r="L452" s="167"/>
      <c r="M452" s="202"/>
      <c r="N452" s="525"/>
      <c r="O452" s="203"/>
      <c r="P452" s="251"/>
      <c r="Q452" s="201"/>
      <c r="R452" s="523"/>
      <c r="S452" s="159"/>
      <c r="T452" s="391"/>
      <c r="U452" s="170"/>
    </row>
    <row r="453" spans="1:21" hidden="1" outlineLevel="2">
      <c r="A453" s="162"/>
      <c r="B453" s="171"/>
      <c r="C453" s="174" t="s">
        <v>491</v>
      </c>
      <c r="D453" s="340"/>
      <c r="E453" s="164"/>
      <c r="F453" s="165"/>
      <c r="G453" s="172"/>
      <c r="H453" s="164"/>
      <c r="I453" s="164"/>
      <c r="J453" s="219"/>
      <c r="K453" s="217"/>
      <c r="L453" s="167"/>
      <c r="M453" s="202"/>
      <c r="N453" s="525"/>
      <c r="O453" s="203"/>
      <c r="P453" s="251"/>
      <c r="Q453" s="201"/>
      <c r="R453" s="523"/>
      <c r="S453" s="159"/>
      <c r="T453" s="391"/>
      <c r="U453" s="170"/>
    </row>
    <row r="454" spans="1:21" hidden="1" outlineLevel="2">
      <c r="A454" s="162"/>
      <c r="B454" s="171"/>
      <c r="C454" s="174" t="s">
        <v>492</v>
      </c>
      <c r="D454" s="340"/>
      <c r="E454" s="164"/>
      <c r="F454" s="165"/>
      <c r="G454" s="172"/>
      <c r="H454" s="164"/>
      <c r="I454" s="164"/>
      <c r="J454" s="219"/>
      <c r="K454" s="217"/>
      <c r="L454" s="167"/>
      <c r="M454" s="202"/>
      <c r="N454" s="525"/>
      <c r="O454" s="203"/>
      <c r="P454" s="251"/>
      <c r="Q454" s="201"/>
      <c r="R454" s="523"/>
      <c r="S454" s="159"/>
      <c r="T454" s="391"/>
      <c r="U454" s="170"/>
    </row>
    <row r="455" spans="1:21" hidden="1" outlineLevel="2">
      <c r="A455" s="162"/>
      <c r="B455" s="171"/>
      <c r="C455" s="174" t="s">
        <v>493</v>
      </c>
      <c r="D455" s="340"/>
      <c r="E455" s="164"/>
      <c r="F455" s="165"/>
      <c r="G455" s="172"/>
      <c r="H455" s="164"/>
      <c r="I455" s="164"/>
      <c r="J455" s="219"/>
      <c r="K455" s="217"/>
      <c r="L455" s="167"/>
      <c r="M455" s="202">
        <v>360000</v>
      </c>
      <c r="N455" s="251">
        <f>M455*1.23</f>
        <v>442800</v>
      </c>
      <c r="O455" s="203"/>
      <c r="P455" s="251"/>
      <c r="Q455" s="201"/>
      <c r="R455" s="523"/>
      <c r="S455" s="159">
        <f t="shared" si="17"/>
        <v>442800</v>
      </c>
      <c r="T455" s="391"/>
      <c r="U455" s="170"/>
    </row>
    <row r="456" spans="1:21" hidden="1" outlineLevel="2">
      <c r="A456" s="162"/>
      <c r="B456" s="171"/>
      <c r="C456" s="174" t="s">
        <v>494</v>
      </c>
      <c r="D456" s="340"/>
      <c r="E456" s="164"/>
      <c r="F456" s="165"/>
      <c r="G456" s="172"/>
      <c r="H456" s="164"/>
      <c r="I456" s="164"/>
      <c r="J456" s="219"/>
      <c r="K456" s="217"/>
      <c r="L456" s="167"/>
      <c r="M456" s="202"/>
      <c r="N456" s="525"/>
      <c r="O456" s="203"/>
      <c r="P456" s="251"/>
      <c r="Q456" s="201"/>
      <c r="R456" s="523"/>
      <c r="S456" s="159"/>
      <c r="T456" s="391"/>
      <c r="U456" s="170"/>
    </row>
    <row r="457" spans="1:21" hidden="1" outlineLevel="2">
      <c r="A457" s="162"/>
      <c r="B457" s="171"/>
      <c r="C457" s="151" t="s">
        <v>507</v>
      </c>
      <c r="D457" s="339"/>
      <c r="E457" s="164"/>
      <c r="F457" s="165"/>
      <c r="G457" s="172"/>
      <c r="H457" s="164"/>
      <c r="I457" s="164"/>
      <c r="J457" s="219"/>
      <c r="K457" s="217"/>
      <c r="L457" s="167"/>
      <c r="M457" s="202"/>
      <c r="N457" s="525"/>
      <c r="O457" s="203"/>
      <c r="P457" s="251"/>
      <c r="Q457" s="201"/>
      <c r="R457" s="523"/>
      <c r="S457" s="159"/>
      <c r="T457" s="391"/>
      <c r="U457" s="161"/>
    </row>
    <row r="458" spans="1:21" hidden="1" outlineLevel="2">
      <c r="A458" s="162"/>
      <c r="B458" s="171"/>
      <c r="C458" s="174" t="s">
        <v>496</v>
      </c>
      <c r="D458" s="340"/>
      <c r="E458" s="164"/>
      <c r="F458" s="165"/>
      <c r="G458" s="172"/>
      <c r="H458" s="164"/>
      <c r="I458" s="164"/>
      <c r="J458" s="219"/>
      <c r="K458" s="217"/>
      <c r="L458" s="167"/>
      <c r="M458" s="202"/>
      <c r="N458" s="525"/>
      <c r="O458" s="203"/>
      <c r="P458" s="251"/>
      <c r="Q458" s="201"/>
      <c r="R458" s="523"/>
      <c r="S458" s="159"/>
      <c r="T458" s="391"/>
      <c r="U458" s="161" t="s">
        <v>562</v>
      </c>
    </row>
    <row r="459" spans="1:21" hidden="1" outlineLevel="2">
      <c r="A459" s="162"/>
      <c r="B459" s="171"/>
      <c r="C459" s="174" t="s">
        <v>497</v>
      </c>
      <c r="D459" s="340"/>
      <c r="E459" s="164"/>
      <c r="F459" s="165"/>
      <c r="G459" s="172"/>
      <c r="H459" s="164"/>
      <c r="I459" s="164"/>
      <c r="J459" s="219"/>
      <c r="K459" s="217"/>
      <c r="L459" s="167"/>
      <c r="M459" s="202"/>
      <c r="N459" s="525"/>
      <c r="O459" s="203"/>
      <c r="P459" s="251"/>
      <c r="Q459" s="201"/>
      <c r="R459" s="523"/>
      <c r="S459" s="159"/>
      <c r="T459" s="391"/>
      <c r="U459" s="161"/>
    </row>
    <row r="460" spans="1:21" hidden="1" outlineLevel="2">
      <c r="A460" s="162"/>
      <c r="B460" s="171"/>
      <c r="C460" s="174" t="s">
        <v>499</v>
      </c>
      <c r="D460" s="340"/>
      <c r="E460" s="164"/>
      <c r="F460" s="165"/>
      <c r="G460" s="172"/>
      <c r="H460" s="164"/>
      <c r="I460" s="164"/>
      <c r="J460" s="219"/>
      <c r="K460" s="217"/>
      <c r="L460" s="167"/>
      <c r="M460" s="202"/>
      <c r="N460" s="525"/>
      <c r="O460" s="203"/>
      <c r="P460" s="251"/>
      <c r="Q460" s="201"/>
      <c r="R460" s="523"/>
      <c r="S460" s="159"/>
      <c r="T460" s="391"/>
      <c r="U460" s="161"/>
    </row>
    <row r="461" spans="1:21" hidden="1" outlineLevel="2">
      <c r="A461" s="162"/>
      <c r="B461" s="171"/>
      <c r="C461" s="174" t="s">
        <v>526</v>
      </c>
      <c r="D461" s="340"/>
      <c r="E461" s="164"/>
      <c r="F461" s="165"/>
      <c r="G461" s="172"/>
      <c r="H461" s="164"/>
      <c r="I461" s="164"/>
      <c r="J461" s="219"/>
      <c r="K461" s="217"/>
      <c r="L461" s="167"/>
      <c r="M461" s="202"/>
      <c r="N461" s="525"/>
      <c r="O461" s="203"/>
      <c r="P461" s="251"/>
      <c r="Q461" s="201"/>
      <c r="R461" s="523"/>
      <c r="S461" s="159"/>
      <c r="T461" s="391"/>
      <c r="U461" s="161" t="s">
        <v>562</v>
      </c>
    </row>
    <row r="462" spans="1:21" hidden="1" outlineLevel="2">
      <c r="A462" s="162"/>
      <c r="B462" s="171"/>
      <c r="C462" s="174" t="s">
        <v>536</v>
      </c>
      <c r="D462" s="340"/>
      <c r="E462" s="164"/>
      <c r="F462" s="165"/>
      <c r="G462" s="172"/>
      <c r="H462" s="164"/>
      <c r="I462" s="164"/>
      <c r="J462" s="219"/>
      <c r="K462" s="217"/>
      <c r="L462" s="167"/>
      <c r="M462" s="202"/>
      <c r="N462" s="525"/>
      <c r="O462" s="203"/>
      <c r="P462" s="251"/>
      <c r="Q462" s="201">
        <v>15000000</v>
      </c>
      <c r="R462" s="523">
        <f>Q462*1.73</f>
        <v>25950000</v>
      </c>
      <c r="S462" s="159">
        <f t="shared" si="17"/>
        <v>25950000</v>
      </c>
      <c r="T462" s="391"/>
      <c r="U462" s="161"/>
    </row>
    <row r="463" spans="1:21" s="135" customFormat="1" hidden="1" outlineLevel="1" collapsed="1">
      <c r="A463" s="229"/>
      <c r="B463" s="151"/>
      <c r="C463" s="151" t="s">
        <v>560</v>
      </c>
      <c r="D463" s="339"/>
      <c r="E463" s="244"/>
      <c r="F463" s="248"/>
      <c r="G463" s="249"/>
      <c r="H463" s="244"/>
      <c r="I463" s="244"/>
      <c r="J463" s="251"/>
      <c r="K463" s="252"/>
      <c r="L463" s="226"/>
      <c r="M463" s="202">
        <f>SUM(M437:M461)</f>
        <v>1320000</v>
      </c>
      <c r="N463" s="251">
        <f>M463*1.23</f>
        <v>1623600</v>
      </c>
      <c r="O463" s="203"/>
      <c r="P463" s="251"/>
      <c r="Q463" s="201">
        <f>SUM(Q461:Q462)</f>
        <v>15000000</v>
      </c>
      <c r="R463" s="543">
        <f>Q463*1.73</f>
        <v>25950000</v>
      </c>
      <c r="S463" s="159">
        <f t="shared" si="17"/>
        <v>27573600</v>
      </c>
      <c r="T463" s="391" t="s">
        <v>360</v>
      </c>
      <c r="U463" s="263"/>
    </row>
    <row r="464" spans="1:21" hidden="1" outlineLevel="2">
      <c r="A464" s="162"/>
      <c r="B464" s="151" t="s">
        <v>563</v>
      </c>
      <c r="C464" s="171"/>
      <c r="D464" s="345"/>
      <c r="E464" s="164"/>
      <c r="F464" s="165"/>
      <c r="G464" s="172"/>
      <c r="H464" s="164"/>
      <c r="I464" s="164"/>
      <c r="J464" s="219"/>
      <c r="K464" s="217"/>
      <c r="L464" s="167"/>
      <c r="M464" s="202"/>
      <c r="N464" s="251"/>
      <c r="O464" s="203"/>
      <c r="P464" s="251"/>
      <c r="Q464" s="201"/>
      <c r="R464" s="523"/>
      <c r="S464" s="159"/>
      <c r="T464" s="225"/>
      <c r="U464" s="170"/>
    </row>
    <row r="465" spans="1:21" hidden="1" outlineLevel="2">
      <c r="A465" s="162"/>
      <c r="B465" s="171"/>
      <c r="C465" s="151" t="s">
        <v>503</v>
      </c>
      <c r="D465" s="339"/>
      <c r="E465" s="164"/>
      <c r="F465" s="165"/>
      <c r="G465" s="172"/>
      <c r="H465" s="164"/>
      <c r="I465" s="164"/>
      <c r="J465" s="219"/>
      <c r="K465" s="217"/>
      <c r="L465" s="167"/>
      <c r="M465" s="202"/>
      <c r="N465" s="251"/>
      <c r="O465" s="203"/>
      <c r="P465" s="251"/>
      <c r="Q465" s="201"/>
      <c r="R465" s="523"/>
      <c r="S465" s="159"/>
      <c r="T465" s="225"/>
      <c r="U465" s="170"/>
    </row>
    <row r="466" spans="1:21" hidden="1" outlineLevel="2">
      <c r="A466" s="162"/>
      <c r="B466" s="171"/>
      <c r="C466" s="174" t="s">
        <v>477</v>
      </c>
      <c r="D466" s="340"/>
      <c r="E466" s="164"/>
      <c r="F466" s="165"/>
      <c r="G466" s="172"/>
      <c r="H466" s="164"/>
      <c r="I466" s="164"/>
      <c r="J466" s="219"/>
      <c r="K466" s="217">
        <f>CIP!$AV$120</f>
        <v>0</v>
      </c>
      <c r="L466" s="167">
        <f>SUM(G466:K466)</f>
        <v>0</v>
      </c>
      <c r="M466" s="202">
        <v>1000000</v>
      </c>
      <c r="N466" s="251">
        <f>M466*1.23</f>
        <v>1230000</v>
      </c>
      <c r="O466" s="203"/>
      <c r="P466" s="251"/>
      <c r="Q466" s="201"/>
      <c r="R466" s="523"/>
      <c r="S466" s="159">
        <f t="shared" ref="S466:S494" si="18">SUM(L466,N466,P466,R466)</f>
        <v>1230000</v>
      </c>
      <c r="T466" s="225"/>
      <c r="U466" s="170"/>
    </row>
    <row r="467" spans="1:21" hidden="1" outlineLevel="2">
      <c r="A467" s="162"/>
      <c r="B467" s="171"/>
      <c r="C467" s="174" t="s">
        <v>478</v>
      </c>
      <c r="D467" s="340"/>
      <c r="E467" s="164"/>
      <c r="F467" s="165"/>
      <c r="G467" s="172"/>
      <c r="H467" s="164"/>
      <c r="I467" s="164"/>
      <c r="J467" s="219"/>
      <c r="K467" s="217"/>
      <c r="L467" s="167"/>
      <c r="M467" s="202"/>
      <c r="N467" s="251"/>
      <c r="O467" s="203"/>
      <c r="P467" s="251"/>
      <c r="Q467" s="201" t="s">
        <v>514</v>
      </c>
      <c r="R467" s="523"/>
      <c r="S467" s="159"/>
      <c r="T467" s="225"/>
      <c r="U467" s="170"/>
    </row>
    <row r="468" spans="1:21" hidden="1" outlineLevel="2">
      <c r="A468" s="162"/>
      <c r="B468" s="171"/>
      <c r="C468" s="174" t="s">
        <v>479</v>
      </c>
      <c r="D468" s="340"/>
      <c r="E468" s="164"/>
      <c r="F468" s="165"/>
      <c r="G468" s="172"/>
      <c r="H468" s="164"/>
      <c r="I468" s="164"/>
      <c r="J468" s="219"/>
      <c r="K468" s="217"/>
      <c r="L468" s="167"/>
      <c r="M468" s="202">
        <v>1000000</v>
      </c>
      <c r="N468" s="251">
        <f>M468*1.23</f>
        <v>1230000</v>
      </c>
      <c r="O468" s="203"/>
      <c r="P468" s="251"/>
      <c r="Q468" s="201" t="s">
        <v>514</v>
      </c>
      <c r="R468" s="523"/>
      <c r="S468" s="159">
        <f t="shared" si="18"/>
        <v>1230000</v>
      </c>
      <c r="T468" s="225"/>
      <c r="U468" s="170"/>
    </row>
    <row r="469" spans="1:21" hidden="1" outlineLevel="2">
      <c r="A469" s="162"/>
      <c r="B469" s="171"/>
      <c r="C469" s="174" t="s">
        <v>480</v>
      </c>
      <c r="D469" s="340"/>
      <c r="E469" s="164"/>
      <c r="F469" s="165"/>
      <c r="G469" s="172"/>
      <c r="H469" s="164"/>
      <c r="I469" s="164"/>
      <c r="J469" s="219"/>
      <c r="K469" s="217"/>
      <c r="L469" s="167"/>
      <c r="M469" s="202">
        <v>200000</v>
      </c>
      <c r="N469" s="251">
        <f>M469*1.23</f>
        <v>246000</v>
      </c>
      <c r="O469" s="203"/>
      <c r="P469" s="251"/>
      <c r="Q469" s="201"/>
      <c r="R469" s="523"/>
      <c r="S469" s="159">
        <f t="shared" si="18"/>
        <v>246000</v>
      </c>
      <c r="T469" s="225"/>
      <c r="U469" s="170"/>
    </row>
    <row r="470" spans="1:21" hidden="1" outlineLevel="2">
      <c r="A470" s="162"/>
      <c r="B470" s="171"/>
      <c r="C470" s="174" t="s">
        <v>481</v>
      </c>
      <c r="D470" s="340"/>
      <c r="E470" s="164"/>
      <c r="F470" s="165"/>
      <c r="G470" s="172"/>
      <c r="H470" s="164"/>
      <c r="I470" s="164"/>
      <c r="J470" s="219"/>
      <c r="K470" s="217"/>
      <c r="L470" s="167"/>
      <c r="M470" s="202"/>
      <c r="N470" s="251"/>
      <c r="O470" s="203"/>
      <c r="P470" s="251"/>
      <c r="Q470" s="201"/>
      <c r="R470" s="523"/>
      <c r="S470" s="159"/>
      <c r="T470" s="225"/>
      <c r="U470" s="170" t="s">
        <v>1144</v>
      </c>
    </row>
    <row r="471" spans="1:21" hidden="1" outlineLevel="2">
      <c r="A471" s="162"/>
      <c r="B471" s="171"/>
      <c r="C471" s="151" t="s">
        <v>504</v>
      </c>
      <c r="D471" s="339"/>
      <c r="E471" s="164"/>
      <c r="F471" s="165"/>
      <c r="G471" s="172"/>
      <c r="H471" s="164"/>
      <c r="I471" s="164"/>
      <c r="J471" s="219"/>
      <c r="K471" s="217"/>
      <c r="L471" s="167" t="s">
        <v>514</v>
      </c>
      <c r="M471" s="202"/>
      <c r="N471" s="251"/>
      <c r="O471" s="203"/>
      <c r="P471" s="251"/>
      <c r="Q471" s="201"/>
      <c r="R471" s="523"/>
      <c r="S471" s="159"/>
      <c r="T471" s="225"/>
      <c r="U471" s="170"/>
    </row>
    <row r="472" spans="1:21" hidden="1" outlineLevel="2">
      <c r="A472" s="162"/>
      <c r="B472" s="171"/>
      <c r="C472" s="174" t="s">
        <v>483</v>
      </c>
      <c r="D472" s="340"/>
      <c r="E472" s="164"/>
      <c r="F472" s="165"/>
      <c r="G472" s="172"/>
      <c r="H472" s="164"/>
      <c r="I472" s="164"/>
      <c r="J472" s="219"/>
      <c r="K472" s="217"/>
      <c r="L472" s="167"/>
      <c r="M472" s="202"/>
      <c r="N472" s="251"/>
      <c r="O472" s="203"/>
      <c r="P472" s="251"/>
      <c r="Q472" s="201"/>
      <c r="R472" s="523"/>
      <c r="S472" s="159"/>
      <c r="T472" s="225"/>
      <c r="U472" s="170"/>
    </row>
    <row r="473" spans="1:21" hidden="1" outlineLevel="2">
      <c r="A473" s="162"/>
      <c r="B473" s="171"/>
      <c r="C473" s="174" t="s">
        <v>484</v>
      </c>
      <c r="D473" s="340"/>
      <c r="E473" s="164"/>
      <c r="F473" s="165"/>
      <c r="G473" s="172"/>
      <c r="H473" s="164"/>
      <c r="I473" s="164">
        <f>CIP!$AT$71</f>
        <v>0</v>
      </c>
      <c r="J473" s="219"/>
      <c r="K473" s="217"/>
      <c r="L473" s="167">
        <f>SUM(G473:K473)</f>
        <v>0</v>
      </c>
      <c r="M473" s="202">
        <v>75000</v>
      </c>
      <c r="N473" s="251">
        <f>M473*1.23</f>
        <v>92250</v>
      </c>
      <c r="O473" s="203"/>
      <c r="P473" s="251"/>
      <c r="Q473" s="201"/>
      <c r="R473" s="523"/>
      <c r="S473" s="159">
        <f t="shared" si="18"/>
        <v>92250</v>
      </c>
      <c r="T473" s="225"/>
      <c r="U473" s="170"/>
    </row>
    <row r="474" spans="1:21" hidden="1" outlineLevel="2">
      <c r="A474" s="162"/>
      <c r="B474" s="171"/>
      <c r="C474" s="174" t="s">
        <v>479</v>
      </c>
      <c r="D474" s="340"/>
      <c r="E474" s="164"/>
      <c r="F474" s="165"/>
      <c r="G474" s="172"/>
      <c r="H474" s="164"/>
      <c r="I474" s="164"/>
      <c r="J474" s="219"/>
      <c r="K474" s="217"/>
      <c r="L474" s="167"/>
      <c r="M474" s="202"/>
      <c r="N474" s="251"/>
      <c r="O474" s="203"/>
      <c r="P474" s="251"/>
      <c r="Q474" s="201"/>
      <c r="R474" s="523"/>
      <c r="S474" s="159"/>
      <c r="T474" s="225"/>
      <c r="U474" s="170"/>
    </row>
    <row r="475" spans="1:21" hidden="1" outlineLevel="2">
      <c r="A475" s="162"/>
      <c r="B475" s="171"/>
      <c r="C475" s="174" t="s">
        <v>485</v>
      </c>
      <c r="D475" s="340"/>
      <c r="E475" s="164"/>
      <c r="F475" s="165"/>
      <c r="G475" s="172"/>
      <c r="H475" s="164"/>
      <c r="I475" s="164"/>
      <c r="J475" s="219"/>
      <c r="K475" s="217"/>
      <c r="L475" s="167"/>
      <c r="M475" s="202"/>
      <c r="N475" s="251"/>
      <c r="O475" s="203"/>
      <c r="P475" s="251"/>
      <c r="Q475" s="201" t="s">
        <v>514</v>
      </c>
      <c r="R475" s="523"/>
      <c r="S475" s="159"/>
      <c r="T475" s="225"/>
      <c r="U475" s="170"/>
    </row>
    <row r="476" spans="1:21" hidden="1" outlineLevel="2">
      <c r="A476" s="162"/>
      <c r="B476" s="171"/>
      <c r="C476" s="151" t="s">
        <v>505</v>
      </c>
      <c r="D476" s="339"/>
      <c r="E476" s="164"/>
      <c r="F476" s="165"/>
      <c r="G476" s="172"/>
      <c r="H476" s="164"/>
      <c r="I476" s="164"/>
      <c r="J476" s="219"/>
      <c r="K476" s="217"/>
      <c r="L476" s="167"/>
      <c r="M476" s="202"/>
      <c r="N476" s="251"/>
      <c r="O476" s="203"/>
      <c r="P476" s="251"/>
      <c r="Q476" s="201"/>
      <c r="R476" s="523"/>
      <c r="S476" s="159"/>
      <c r="T476" s="225"/>
      <c r="U476" s="170"/>
    </row>
    <row r="477" spans="1:21" hidden="1" outlineLevel="2">
      <c r="A477" s="162"/>
      <c r="B477" s="171"/>
      <c r="C477" s="174" t="s">
        <v>487</v>
      </c>
      <c r="D477" s="340"/>
      <c r="E477" s="164"/>
      <c r="F477" s="165"/>
      <c r="G477" s="172"/>
      <c r="H477" s="164"/>
      <c r="I477" s="164"/>
      <c r="J477" s="219"/>
      <c r="K477" s="217"/>
      <c r="L477" s="167"/>
      <c r="M477" s="202"/>
      <c r="N477" s="251"/>
      <c r="O477" s="203"/>
      <c r="P477" s="251"/>
      <c r="Q477" s="201"/>
      <c r="R477" s="523"/>
      <c r="S477" s="159"/>
      <c r="T477" s="225"/>
      <c r="U477" s="170"/>
    </row>
    <row r="478" spans="1:21" hidden="1" outlineLevel="2">
      <c r="A478" s="162"/>
      <c r="B478" s="171"/>
      <c r="C478" s="174" t="s">
        <v>479</v>
      </c>
      <c r="D478" s="340"/>
      <c r="E478" s="164"/>
      <c r="F478" s="165"/>
      <c r="G478" s="172"/>
      <c r="H478" s="164"/>
      <c r="I478" s="164"/>
      <c r="J478" s="219"/>
      <c r="K478" s="217"/>
      <c r="L478" s="167"/>
      <c r="M478" s="202"/>
      <c r="N478" s="251"/>
      <c r="O478" s="203"/>
      <c r="P478" s="251"/>
      <c r="Q478" s="201"/>
      <c r="R478" s="523"/>
      <c r="S478" s="159"/>
      <c r="T478" s="225"/>
      <c r="U478" s="170"/>
    </row>
    <row r="479" spans="1:21" hidden="1" outlineLevel="2">
      <c r="A479" s="162"/>
      <c r="B479" s="171"/>
      <c r="C479" s="174" t="s">
        <v>488</v>
      </c>
      <c r="D479" s="340"/>
      <c r="E479" s="164"/>
      <c r="F479" s="165"/>
      <c r="G479" s="172"/>
      <c r="H479" s="164"/>
      <c r="I479" s="164"/>
      <c r="J479" s="219"/>
      <c r="K479" s="217"/>
      <c r="L479" s="167"/>
      <c r="M479" s="202">
        <v>100000</v>
      </c>
      <c r="N479" s="251">
        <f>M479*1.23</f>
        <v>123000</v>
      </c>
      <c r="O479" s="203"/>
      <c r="P479" s="251"/>
      <c r="Q479" s="201"/>
      <c r="R479" s="523"/>
      <c r="S479" s="159">
        <f t="shared" si="18"/>
        <v>123000</v>
      </c>
      <c r="T479" s="225"/>
      <c r="U479" s="170"/>
    </row>
    <row r="480" spans="1:21" hidden="1" outlineLevel="2">
      <c r="A480" s="162"/>
      <c r="B480" s="171"/>
      <c r="C480" s="174" t="s">
        <v>489</v>
      </c>
      <c r="D480" s="340"/>
      <c r="E480" s="164"/>
      <c r="F480" s="165"/>
      <c r="G480" s="172"/>
      <c r="H480" s="164"/>
      <c r="I480" s="164"/>
      <c r="J480" s="219"/>
      <c r="K480" s="217"/>
      <c r="L480" s="167" t="s">
        <v>514</v>
      </c>
      <c r="M480" s="202"/>
      <c r="N480" s="251"/>
      <c r="O480" s="203"/>
      <c r="P480" s="251"/>
      <c r="Q480" s="201">
        <v>800000</v>
      </c>
      <c r="R480" s="523">
        <f>Q480*1.73</f>
        <v>1384000</v>
      </c>
      <c r="S480" s="159">
        <f t="shared" si="18"/>
        <v>1384000</v>
      </c>
      <c r="T480" s="225"/>
      <c r="U480" s="170" t="s">
        <v>514</v>
      </c>
    </row>
    <row r="481" spans="1:21" hidden="1" outlineLevel="2">
      <c r="A481" s="162"/>
      <c r="B481" s="171"/>
      <c r="C481" s="151" t="s">
        <v>506</v>
      </c>
      <c r="D481" s="339"/>
      <c r="E481" s="164"/>
      <c r="F481" s="165"/>
      <c r="G481" s="172"/>
      <c r="H481" s="164"/>
      <c r="I481" s="164"/>
      <c r="J481" s="219"/>
      <c r="K481" s="217"/>
      <c r="L481" s="167"/>
      <c r="M481" s="202"/>
      <c r="N481" s="251"/>
      <c r="O481" s="203"/>
      <c r="P481" s="251"/>
      <c r="Q481" s="201"/>
      <c r="R481" s="523"/>
      <c r="S481" s="159"/>
      <c r="T481" s="225"/>
      <c r="U481" s="170"/>
    </row>
    <row r="482" spans="1:21" hidden="1" outlineLevel="2">
      <c r="A482" s="162"/>
      <c r="B482" s="171"/>
      <c r="C482" s="174" t="s">
        <v>491</v>
      </c>
      <c r="D482" s="340"/>
      <c r="E482" s="164"/>
      <c r="F482" s="165"/>
      <c r="G482" s="172"/>
      <c r="H482" s="164"/>
      <c r="I482" s="164">
        <f>CIP!$AT$73</f>
        <v>0</v>
      </c>
      <c r="J482" s="219"/>
      <c r="K482" s="217"/>
      <c r="L482" s="167">
        <f>SUM(G482:K482)</f>
        <v>0</v>
      </c>
      <c r="M482" s="202"/>
      <c r="N482" s="251"/>
      <c r="O482" s="203"/>
      <c r="P482" s="251"/>
      <c r="Q482" s="201"/>
      <c r="R482" s="523"/>
      <c r="S482" s="159">
        <f t="shared" si="18"/>
        <v>0</v>
      </c>
      <c r="T482" s="225"/>
      <c r="U482" s="170"/>
    </row>
    <row r="483" spans="1:21" hidden="1" outlineLevel="2">
      <c r="A483" s="162"/>
      <c r="B483" s="171"/>
      <c r="C483" s="174" t="s">
        <v>492</v>
      </c>
      <c r="D483" s="340"/>
      <c r="E483" s="164"/>
      <c r="F483" s="165"/>
      <c r="G483" s="172"/>
      <c r="H483" s="164"/>
      <c r="I483" s="164"/>
      <c r="J483" s="219"/>
      <c r="K483" s="217"/>
      <c r="L483" s="167"/>
      <c r="M483" s="202"/>
      <c r="N483" s="251"/>
      <c r="O483" s="203"/>
      <c r="P483" s="251"/>
      <c r="Q483" s="201">
        <v>900000</v>
      </c>
      <c r="R483" s="523">
        <f t="shared" ref="R483:R494" si="19">Q483*1.73</f>
        <v>1557000</v>
      </c>
      <c r="S483" s="159">
        <f t="shared" si="18"/>
        <v>1557000</v>
      </c>
      <c r="T483" s="225"/>
      <c r="U483" s="170"/>
    </row>
    <row r="484" spans="1:21" hidden="1" outlineLevel="2">
      <c r="A484" s="162"/>
      <c r="B484" s="171"/>
      <c r="C484" s="174" t="s">
        <v>493</v>
      </c>
      <c r="D484" s="340"/>
      <c r="E484" s="164"/>
      <c r="F484" s="165"/>
      <c r="G484" s="172"/>
      <c r="H484" s="164"/>
      <c r="I484" s="164"/>
      <c r="J484" s="219"/>
      <c r="K484" s="217"/>
      <c r="L484" s="167"/>
      <c r="M484" s="202"/>
      <c r="N484" s="251"/>
      <c r="O484" s="203"/>
      <c r="P484" s="251"/>
      <c r="Q484" s="201">
        <v>400000</v>
      </c>
      <c r="R484" s="523">
        <f t="shared" si="19"/>
        <v>692000</v>
      </c>
      <c r="S484" s="159">
        <f t="shared" si="18"/>
        <v>692000</v>
      </c>
      <c r="T484" s="225"/>
      <c r="U484" s="170"/>
    </row>
    <row r="485" spans="1:21" hidden="1" outlineLevel="2">
      <c r="A485" s="162"/>
      <c r="B485" s="171"/>
      <c r="C485" s="174" t="s">
        <v>494</v>
      </c>
      <c r="D485" s="340"/>
      <c r="E485" s="164"/>
      <c r="F485" s="165"/>
      <c r="G485" s="172"/>
      <c r="H485" s="164"/>
      <c r="I485" s="164"/>
      <c r="J485" s="219"/>
      <c r="K485" s="217"/>
      <c r="L485" s="167"/>
      <c r="M485" s="202"/>
      <c r="N485" s="251"/>
      <c r="O485" s="203"/>
      <c r="P485" s="251"/>
      <c r="Q485" s="201"/>
      <c r="R485" s="523"/>
      <c r="S485" s="159"/>
      <c r="T485" s="225"/>
      <c r="U485" s="170"/>
    </row>
    <row r="486" spans="1:21" hidden="1" outlineLevel="2">
      <c r="A486" s="162"/>
      <c r="B486" s="171"/>
      <c r="C486" s="151" t="s">
        <v>564</v>
      </c>
      <c r="D486" s="339"/>
      <c r="E486" s="164"/>
      <c r="F486" s="165"/>
      <c r="G486" s="172"/>
      <c r="H486" s="164"/>
      <c r="I486" s="164"/>
      <c r="J486" s="219"/>
      <c r="K486" s="217"/>
      <c r="L486" s="167"/>
      <c r="M486" s="202"/>
      <c r="N486" s="251"/>
      <c r="O486" s="203"/>
      <c r="P486" s="251"/>
      <c r="Q486" s="201"/>
      <c r="R486" s="523"/>
      <c r="S486" s="159"/>
      <c r="T486" s="225"/>
      <c r="U486" s="170"/>
    </row>
    <row r="487" spans="1:21" hidden="1" outlineLevel="2">
      <c r="A487" s="162"/>
      <c r="B487" s="171"/>
      <c r="C487" s="174" t="s">
        <v>496</v>
      </c>
      <c r="D487" s="340"/>
      <c r="E487" s="164"/>
      <c r="F487" s="165"/>
      <c r="G487" s="172"/>
      <c r="H487" s="164"/>
      <c r="I487" s="164"/>
      <c r="J487" s="219"/>
      <c r="K487" s="217"/>
      <c r="L487" s="167"/>
      <c r="M487" s="202">
        <v>400000</v>
      </c>
      <c r="N487" s="251">
        <f>M487*1.23</f>
        <v>492000</v>
      </c>
      <c r="O487" s="203"/>
      <c r="P487" s="251"/>
      <c r="Q487" s="201"/>
      <c r="R487" s="523"/>
      <c r="S487" s="159">
        <f t="shared" si="18"/>
        <v>492000</v>
      </c>
      <c r="T487" s="225"/>
      <c r="U487" s="170"/>
    </row>
    <row r="488" spans="1:21" hidden="1" outlineLevel="2">
      <c r="A488" s="162"/>
      <c r="B488" s="171"/>
      <c r="C488" s="174" t="s">
        <v>497</v>
      </c>
      <c r="D488" s="340"/>
      <c r="E488" s="164"/>
      <c r="F488" s="165"/>
      <c r="G488" s="172"/>
      <c r="H488" s="164"/>
      <c r="I488" s="164"/>
      <c r="J488" s="219"/>
      <c r="K488" s="217"/>
      <c r="L488" s="167"/>
      <c r="M488" s="202" t="s">
        <v>514</v>
      </c>
      <c r="N488" s="251"/>
      <c r="O488" s="203"/>
      <c r="P488" s="251"/>
      <c r="Q488" s="201"/>
      <c r="R488" s="523"/>
      <c r="S488" s="159"/>
      <c r="T488" s="225"/>
      <c r="U488" s="170"/>
    </row>
    <row r="489" spans="1:21" hidden="1" outlineLevel="2">
      <c r="A489" s="162"/>
      <c r="B489" s="171"/>
      <c r="C489" s="174" t="s">
        <v>499</v>
      </c>
      <c r="D489" s="340"/>
      <c r="E489" s="164"/>
      <c r="F489" s="165"/>
      <c r="G489" s="172"/>
      <c r="H489" s="164"/>
      <c r="I489" s="164"/>
      <c r="J489" s="219"/>
      <c r="K489" s="217"/>
      <c r="L489" s="167"/>
      <c r="M489" s="202"/>
      <c r="N489" s="251"/>
      <c r="O489" s="203"/>
      <c r="P489" s="251"/>
      <c r="Q489" s="201"/>
      <c r="R489" s="523"/>
      <c r="S489" s="159"/>
      <c r="T489" s="225"/>
      <c r="U489" s="170"/>
    </row>
    <row r="490" spans="1:21" hidden="1" outlineLevel="2">
      <c r="A490" s="162"/>
      <c r="B490" s="171"/>
      <c r="C490" s="174" t="s">
        <v>526</v>
      </c>
      <c r="D490" s="340"/>
      <c r="E490" s="164"/>
      <c r="F490" s="165"/>
      <c r="G490" s="172"/>
      <c r="H490" s="164"/>
      <c r="I490" s="164"/>
      <c r="J490" s="217"/>
      <c r="K490" s="217">
        <f>CIP!$AV$132</f>
        <v>0</v>
      </c>
      <c r="L490" s="167">
        <f>SUM(G490:K490)</f>
        <v>0</v>
      </c>
      <c r="M490" s="202">
        <v>500000</v>
      </c>
      <c r="N490" s="251">
        <f>M490*1.23</f>
        <v>615000</v>
      </c>
      <c r="O490" s="203"/>
      <c r="P490" s="251"/>
      <c r="Q490" s="201"/>
      <c r="R490" s="523"/>
      <c r="S490" s="159">
        <f t="shared" si="18"/>
        <v>615000</v>
      </c>
      <c r="T490" s="225"/>
      <c r="U490" s="170"/>
    </row>
    <row r="491" spans="1:21" hidden="1" outlineLevel="2">
      <c r="A491" s="162"/>
      <c r="B491" s="171"/>
      <c r="C491" s="174" t="s">
        <v>565</v>
      </c>
      <c r="D491" s="340"/>
      <c r="E491" s="164"/>
      <c r="F491" s="165"/>
      <c r="G491" s="172"/>
      <c r="H491" s="164"/>
      <c r="I491" s="164"/>
      <c r="J491" s="219"/>
      <c r="K491" s="217"/>
      <c r="L491" s="167"/>
      <c r="M491" s="202">
        <v>200000</v>
      </c>
      <c r="N491" s="251">
        <f>M491*1.23</f>
        <v>246000</v>
      </c>
      <c r="O491" s="203"/>
      <c r="P491" s="251"/>
      <c r="Q491" s="201"/>
      <c r="R491" s="523"/>
      <c r="S491" s="159">
        <f t="shared" si="18"/>
        <v>246000</v>
      </c>
      <c r="T491" s="225"/>
      <c r="U491" s="170"/>
    </row>
    <row r="492" spans="1:21" hidden="1" outlineLevel="2">
      <c r="A492" s="162"/>
      <c r="B492" s="171"/>
      <c r="C492" s="174" t="s">
        <v>1098</v>
      </c>
      <c r="D492" s="340"/>
      <c r="E492" s="164"/>
      <c r="F492" s="165"/>
      <c r="G492" s="172" t="e">
        <f>CIP!#REF!</f>
        <v>#REF!</v>
      </c>
      <c r="H492" s="164"/>
      <c r="I492" s="164"/>
      <c r="J492" s="219"/>
      <c r="K492" s="217"/>
      <c r="L492" s="167" t="e">
        <f>SUM(G492:K492)</f>
        <v>#REF!</v>
      </c>
      <c r="M492" s="202"/>
      <c r="N492" s="251"/>
      <c r="O492" s="203"/>
      <c r="P492" s="251"/>
      <c r="Q492" s="201"/>
      <c r="R492" s="523"/>
      <c r="S492" s="159" t="e">
        <f t="shared" si="18"/>
        <v>#REF!</v>
      </c>
      <c r="T492" s="225"/>
      <c r="U492" s="170"/>
    </row>
    <row r="493" spans="1:21" hidden="1" outlineLevel="2">
      <c r="A493" s="162"/>
      <c r="B493" s="171"/>
      <c r="C493" s="151" t="s">
        <v>566</v>
      </c>
      <c r="D493" s="339"/>
      <c r="E493" s="164"/>
      <c r="F493" s="165"/>
      <c r="G493" s="172"/>
      <c r="H493" s="164"/>
      <c r="I493" s="164"/>
      <c r="J493" s="219"/>
      <c r="K493" s="217"/>
      <c r="L493" s="167"/>
      <c r="M493" s="202"/>
      <c r="N493" s="251"/>
      <c r="O493" s="203"/>
      <c r="P493" s="251"/>
      <c r="Q493" s="201"/>
      <c r="R493" s="523"/>
      <c r="S493" s="159"/>
      <c r="T493" s="225"/>
      <c r="U493" s="390" t="s">
        <v>1302</v>
      </c>
    </row>
    <row r="494" spans="1:21" s="135" customFormat="1" hidden="1" outlineLevel="1" collapsed="1">
      <c r="A494" s="229"/>
      <c r="B494" s="151"/>
      <c r="C494" s="151" t="s">
        <v>563</v>
      </c>
      <c r="D494" s="339"/>
      <c r="E494" s="244"/>
      <c r="F494" s="248"/>
      <c r="G494" s="249" t="e">
        <f>SUM(G492:G493)</f>
        <v>#REF!</v>
      </c>
      <c r="H494" s="244"/>
      <c r="I494" s="244">
        <f>SUM(I470:I493)</f>
        <v>0</v>
      </c>
      <c r="J494" s="251"/>
      <c r="K494" s="252">
        <f>SUM(K466:K493)</f>
        <v>0</v>
      </c>
      <c r="L494" s="226" t="e">
        <f>SUM(G494:K494)</f>
        <v>#REF!</v>
      </c>
      <c r="M494" s="202">
        <f>SUM(M466:M493)</f>
        <v>3475000</v>
      </c>
      <c r="N494" s="251">
        <f>M494*1.23</f>
        <v>4274250</v>
      </c>
      <c r="O494" s="203"/>
      <c r="P494" s="251"/>
      <c r="Q494" s="201">
        <f>SUM(Q464:Q493)</f>
        <v>2100000</v>
      </c>
      <c r="R494" s="523">
        <f t="shared" si="19"/>
        <v>3633000</v>
      </c>
      <c r="S494" s="159" t="e">
        <f t="shared" si="18"/>
        <v>#REF!</v>
      </c>
      <c r="T494" s="391" t="s">
        <v>360</v>
      </c>
      <c r="U494" s="170" t="s">
        <v>1005</v>
      </c>
    </row>
    <row r="495" spans="1:21" hidden="1" outlineLevel="2">
      <c r="A495" s="162"/>
      <c r="B495" s="151" t="s">
        <v>567</v>
      </c>
      <c r="C495" s="171"/>
      <c r="D495" s="345"/>
      <c r="E495" s="164"/>
      <c r="F495" s="165"/>
      <c r="G495" s="172"/>
      <c r="H495" s="164"/>
      <c r="I495" s="164"/>
      <c r="J495" s="164"/>
      <c r="K495" s="165"/>
      <c r="L495" s="155"/>
      <c r="M495" s="156"/>
      <c r="N495" s="250"/>
      <c r="O495" s="157"/>
      <c r="P495" s="251"/>
      <c r="Q495" s="201"/>
      <c r="R495" s="527"/>
      <c r="S495" s="159"/>
      <c r="T495" s="391"/>
      <c r="U495" s="170"/>
    </row>
    <row r="496" spans="1:21" hidden="1" outlineLevel="2">
      <c r="A496" s="162"/>
      <c r="B496" s="171"/>
      <c r="C496" s="151" t="s">
        <v>503</v>
      </c>
      <c r="D496" s="339"/>
      <c r="E496" s="164"/>
      <c r="F496" s="165"/>
      <c r="G496" s="172"/>
      <c r="H496" s="164"/>
      <c r="I496" s="164"/>
      <c r="J496" s="164"/>
      <c r="K496" s="165"/>
      <c r="L496" s="155"/>
      <c r="M496" s="156"/>
      <c r="N496" s="250"/>
      <c r="O496" s="157"/>
      <c r="P496" s="251"/>
      <c r="Q496" s="201"/>
      <c r="R496" s="523"/>
      <c r="S496" s="159"/>
      <c r="T496" s="391"/>
      <c r="U496" s="170"/>
    </row>
    <row r="497" spans="1:21" hidden="1" outlineLevel="2">
      <c r="A497" s="162"/>
      <c r="B497" s="171"/>
      <c r="C497" s="174" t="s">
        <v>510</v>
      </c>
      <c r="D497" s="340"/>
      <c r="E497" s="164"/>
      <c r="F497" s="165"/>
      <c r="G497" s="172"/>
      <c r="H497" s="164"/>
      <c r="I497" s="164"/>
      <c r="J497" s="164"/>
      <c r="K497" s="165"/>
      <c r="L497" s="155"/>
      <c r="M497" s="156"/>
      <c r="N497" s="250"/>
      <c r="O497" s="157"/>
      <c r="P497" s="251"/>
      <c r="Q497" s="201"/>
      <c r="R497" s="523"/>
      <c r="S497" s="159"/>
      <c r="T497" s="391"/>
      <c r="U497" s="170"/>
    </row>
    <row r="498" spans="1:21" hidden="1" outlineLevel="2">
      <c r="A498" s="162"/>
      <c r="B498" s="171"/>
      <c r="C498" s="174" t="s">
        <v>478</v>
      </c>
      <c r="D498" s="340"/>
      <c r="E498" s="164"/>
      <c r="F498" s="165"/>
      <c r="G498" s="172"/>
      <c r="H498" s="164"/>
      <c r="I498" s="164"/>
      <c r="J498" s="164"/>
      <c r="K498" s="165"/>
      <c r="L498" s="155"/>
      <c r="M498" s="156"/>
      <c r="N498" s="250"/>
      <c r="O498" s="157"/>
      <c r="P498" s="251"/>
      <c r="Q498" s="201"/>
      <c r="R498" s="523"/>
      <c r="S498" s="159"/>
      <c r="T498" s="391"/>
      <c r="U498" s="170"/>
    </row>
    <row r="499" spans="1:21" hidden="1" outlineLevel="2">
      <c r="A499" s="162"/>
      <c r="B499" s="171"/>
      <c r="C499" s="174" t="s">
        <v>479</v>
      </c>
      <c r="D499" s="340"/>
      <c r="E499" s="164"/>
      <c r="F499" s="165"/>
      <c r="G499" s="172"/>
      <c r="H499" s="164"/>
      <c r="I499" s="164"/>
      <c r="J499" s="164"/>
      <c r="K499" s="165"/>
      <c r="L499" s="196"/>
      <c r="M499" s="199">
        <v>250000</v>
      </c>
      <c r="N499" s="244">
        <f>M499*1.23</f>
        <v>307500</v>
      </c>
      <c r="O499" s="157"/>
      <c r="P499" s="251"/>
      <c r="Q499" s="201"/>
      <c r="R499" s="523"/>
      <c r="S499" s="159">
        <f t="shared" ref="S499" si="20">SUM(L499,N499,P499,R499)</f>
        <v>307500</v>
      </c>
      <c r="T499" s="391"/>
      <c r="U499" s="170"/>
    </row>
    <row r="500" spans="1:21" hidden="1" outlineLevel="2">
      <c r="A500" s="162"/>
      <c r="B500" s="171"/>
      <c r="C500" s="174" t="s">
        <v>480</v>
      </c>
      <c r="D500" s="340"/>
      <c r="E500" s="164"/>
      <c r="F500" s="165"/>
      <c r="G500" s="172"/>
      <c r="H500" s="164"/>
      <c r="I500" s="164"/>
      <c r="J500" s="164"/>
      <c r="K500" s="165"/>
      <c r="L500" s="220"/>
      <c r="M500" s="156"/>
      <c r="N500" s="250"/>
      <c r="O500" s="157"/>
      <c r="P500" s="251"/>
      <c r="Q500" s="201"/>
      <c r="R500" s="523"/>
      <c r="S500" s="159"/>
      <c r="T500" s="391"/>
      <c r="U500" s="170"/>
    </row>
    <row r="501" spans="1:21" hidden="1" outlineLevel="2">
      <c r="A501" s="162"/>
      <c r="B501" s="171"/>
      <c r="C501" s="151" t="s">
        <v>504</v>
      </c>
      <c r="D501" s="339"/>
      <c r="E501" s="164"/>
      <c r="F501" s="165"/>
      <c r="G501" s="172"/>
      <c r="H501" s="164"/>
      <c r="I501" s="164"/>
      <c r="J501" s="164"/>
      <c r="K501" s="165"/>
      <c r="L501" s="155"/>
      <c r="M501" s="156"/>
      <c r="N501" s="250"/>
      <c r="O501" s="157"/>
      <c r="P501" s="251"/>
      <c r="Q501" s="201"/>
      <c r="R501" s="523"/>
      <c r="S501" s="159"/>
      <c r="T501" s="391"/>
      <c r="U501" s="170"/>
    </row>
    <row r="502" spans="1:21" hidden="1" outlineLevel="2">
      <c r="A502" s="162"/>
      <c r="B502" s="171"/>
      <c r="C502" s="174" t="s">
        <v>483</v>
      </c>
      <c r="D502" s="340"/>
      <c r="E502" s="164"/>
      <c r="F502" s="165"/>
      <c r="G502" s="172"/>
      <c r="H502" s="164"/>
      <c r="I502" s="164"/>
      <c r="J502" s="164"/>
      <c r="K502" s="165"/>
      <c r="L502" s="155"/>
      <c r="M502" s="156"/>
      <c r="N502" s="250"/>
      <c r="O502" s="157"/>
      <c r="P502" s="251"/>
      <c r="Q502" s="201"/>
      <c r="R502" s="523"/>
      <c r="S502" s="159"/>
      <c r="T502" s="391"/>
      <c r="U502" s="170"/>
    </row>
    <row r="503" spans="1:21" hidden="1" outlineLevel="2">
      <c r="A503" s="162"/>
      <c r="B503" s="171"/>
      <c r="C503" s="174" t="s">
        <v>484</v>
      </c>
      <c r="D503" s="340"/>
      <c r="E503" s="164"/>
      <c r="F503" s="165"/>
      <c r="G503" s="172"/>
      <c r="H503" s="164"/>
      <c r="I503" s="164"/>
      <c r="J503" s="164"/>
      <c r="K503" s="165"/>
      <c r="L503" s="155"/>
      <c r="M503" s="156"/>
      <c r="N503" s="250"/>
      <c r="O503" s="157">
        <v>100000</v>
      </c>
      <c r="P503" s="251">
        <f>O503*1.46</f>
        <v>146000</v>
      </c>
      <c r="Q503" s="201"/>
      <c r="R503" s="523"/>
      <c r="S503" s="159">
        <f t="shared" ref="S503" si="21">SUM(L503,N503,P503,R503)</f>
        <v>146000</v>
      </c>
      <c r="T503" s="391"/>
      <c r="U503" s="170"/>
    </row>
    <row r="504" spans="1:21" hidden="1" outlineLevel="2">
      <c r="A504" s="162"/>
      <c r="B504" s="171"/>
      <c r="C504" s="174" t="s">
        <v>479</v>
      </c>
      <c r="D504" s="340"/>
      <c r="E504" s="164"/>
      <c r="F504" s="165"/>
      <c r="G504" s="172"/>
      <c r="H504" s="164"/>
      <c r="I504" s="164"/>
      <c r="J504" s="164"/>
      <c r="K504" s="165"/>
      <c r="L504" s="155"/>
      <c r="M504" s="156"/>
      <c r="N504" s="250"/>
      <c r="O504" s="157"/>
      <c r="P504" s="251"/>
      <c r="Q504" s="201"/>
      <c r="R504" s="523"/>
      <c r="S504" s="159"/>
      <c r="T504" s="391"/>
      <c r="U504" s="170"/>
    </row>
    <row r="505" spans="1:21" hidden="1" outlineLevel="2">
      <c r="A505" s="162"/>
      <c r="B505" s="171"/>
      <c r="C505" s="174" t="s">
        <v>485</v>
      </c>
      <c r="D505" s="340"/>
      <c r="E505" s="164"/>
      <c r="F505" s="165"/>
      <c r="G505" s="172"/>
      <c r="H505" s="164"/>
      <c r="I505" s="164"/>
      <c r="J505" s="164"/>
      <c r="K505" s="165"/>
      <c r="L505" s="155"/>
      <c r="M505" s="156"/>
      <c r="N505" s="250"/>
      <c r="O505" s="157"/>
      <c r="P505" s="251"/>
      <c r="Q505" s="201"/>
      <c r="R505" s="523"/>
      <c r="S505" s="159"/>
      <c r="T505" s="391"/>
      <c r="U505" s="161" t="s">
        <v>535</v>
      </c>
    </row>
    <row r="506" spans="1:21" hidden="1" outlineLevel="2">
      <c r="A506" s="162"/>
      <c r="B506" s="171"/>
      <c r="C506" s="151" t="s">
        <v>505</v>
      </c>
      <c r="D506" s="339"/>
      <c r="E506" s="164"/>
      <c r="F506" s="165"/>
      <c r="G506" s="172"/>
      <c r="H506" s="164"/>
      <c r="I506" s="164"/>
      <c r="J506" s="164"/>
      <c r="K506" s="165"/>
      <c r="L506" s="155"/>
      <c r="M506" s="156"/>
      <c r="N506" s="250"/>
      <c r="O506" s="157"/>
      <c r="P506" s="251"/>
      <c r="Q506" s="201"/>
      <c r="R506" s="523"/>
      <c r="S506" s="159"/>
      <c r="T506" s="391"/>
      <c r="U506" s="161"/>
    </row>
    <row r="507" spans="1:21" hidden="1" outlineLevel="2">
      <c r="A507" s="162"/>
      <c r="B507" s="171"/>
      <c r="C507" s="174" t="s">
        <v>487</v>
      </c>
      <c r="D507" s="340"/>
      <c r="E507" s="164"/>
      <c r="F507" s="165"/>
      <c r="G507" s="172"/>
      <c r="H507" s="164"/>
      <c r="I507" s="164"/>
      <c r="J507" s="164"/>
      <c r="K507" s="165"/>
      <c r="L507" s="155"/>
      <c r="M507" s="156"/>
      <c r="N507" s="250"/>
      <c r="O507" s="157"/>
      <c r="P507" s="251"/>
      <c r="Q507" s="201"/>
      <c r="R507" s="523"/>
      <c r="S507" s="159"/>
      <c r="T507" s="391"/>
      <c r="U507" s="161"/>
    </row>
    <row r="508" spans="1:21" hidden="1" outlineLevel="2">
      <c r="A508" s="162"/>
      <c r="B508" s="171"/>
      <c r="C508" s="174" t="s">
        <v>479</v>
      </c>
      <c r="D508" s="340"/>
      <c r="E508" s="164"/>
      <c r="F508" s="165"/>
      <c r="G508" s="172"/>
      <c r="H508" s="164"/>
      <c r="I508" s="164"/>
      <c r="J508" s="164"/>
      <c r="K508" s="165"/>
      <c r="L508" s="155"/>
      <c r="M508" s="156"/>
      <c r="N508" s="250"/>
      <c r="O508" s="157"/>
      <c r="P508" s="251"/>
      <c r="Q508" s="201"/>
      <c r="R508" s="523"/>
      <c r="S508" s="159"/>
      <c r="T508" s="391"/>
      <c r="U508" s="161"/>
    </row>
    <row r="509" spans="1:21" hidden="1" outlineLevel="2">
      <c r="A509" s="162"/>
      <c r="B509" s="171"/>
      <c r="C509" s="174" t="s">
        <v>488</v>
      </c>
      <c r="D509" s="340"/>
      <c r="E509" s="164"/>
      <c r="F509" s="165"/>
      <c r="G509" s="172"/>
      <c r="H509" s="164"/>
      <c r="I509" s="164"/>
      <c r="J509" s="164"/>
      <c r="K509" s="165"/>
      <c r="L509" s="155"/>
      <c r="M509" s="156"/>
      <c r="N509" s="250"/>
      <c r="O509" s="157"/>
      <c r="P509" s="251"/>
      <c r="Q509" s="201"/>
      <c r="R509" s="523"/>
      <c r="S509" s="159"/>
      <c r="T509" s="391"/>
      <c r="U509" s="161"/>
    </row>
    <row r="510" spans="1:21" hidden="1" outlineLevel="2">
      <c r="A510" s="162"/>
      <c r="B510" s="171"/>
      <c r="C510" s="174" t="s">
        <v>489</v>
      </c>
      <c r="D510" s="340"/>
      <c r="E510" s="164"/>
      <c r="F510" s="165"/>
      <c r="G510" s="172"/>
      <c r="H510" s="164"/>
      <c r="I510" s="164"/>
      <c r="J510" s="164"/>
      <c r="K510" s="165"/>
      <c r="L510" s="155"/>
      <c r="M510" s="156"/>
      <c r="N510" s="250"/>
      <c r="O510" s="157"/>
      <c r="P510" s="251"/>
      <c r="Q510" s="201"/>
      <c r="R510" s="523"/>
      <c r="S510" s="159"/>
      <c r="T510" s="391"/>
      <c r="U510" s="161"/>
    </row>
    <row r="511" spans="1:21" hidden="1" outlineLevel="2">
      <c r="A511" s="162"/>
      <c r="B511" s="171"/>
      <c r="C511" s="151" t="s">
        <v>506</v>
      </c>
      <c r="D511" s="339"/>
      <c r="E511" s="164"/>
      <c r="F511" s="165"/>
      <c r="G511" s="172"/>
      <c r="H511" s="164"/>
      <c r="I511" s="164"/>
      <c r="J511" s="164"/>
      <c r="K511" s="165"/>
      <c r="L511" s="155"/>
      <c r="M511" s="156"/>
      <c r="N511" s="250"/>
      <c r="O511" s="157"/>
      <c r="P511" s="251"/>
      <c r="Q511" s="201"/>
      <c r="R511" s="523"/>
      <c r="S511" s="159"/>
      <c r="T511" s="391"/>
      <c r="U511" s="161"/>
    </row>
    <row r="512" spans="1:21" hidden="1" outlineLevel="2">
      <c r="A512" s="162"/>
      <c r="B512" s="171"/>
      <c r="C512" s="174" t="s">
        <v>491</v>
      </c>
      <c r="D512" s="340"/>
      <c r="E512" s="164"/>
      <c r="F512" s="165"/>
      <c r="G512" s="172"/>
      <c r="H512" s="164"/>
      <c r="I512" s="164"/>
      <c r="J512" s="164"/>
      <c r="K512" s="165"/>
      <c r="L512" s="155"/>
      <c r="M512" s="156"/>
      <c r="N512" s="250"/>
      <c r="O512" s="157"/>
      <c r="P512" s="251"/>
      <c r="Q512" s="201"/>
      <c r="R512" s="523"/>
      <c r="S512" s="159"/>
      <c r="T512" s="391"/>
      <c r="U512" s="161" t="s">
        <v>568</v>
      </c>
    </row>
    <row r="513" spans="1:22" hidden="1" outlineLevel="2">
      <c r="A513" s="162"/>
      <c r="B513" s="171"/>
      <c r="C513" s="174" t="s">
        <v>492</v>
      </c>
      <c r="D513" s="340"/>
      <c r="E513" s="164"/>
      <c r="F513" s="165"/>
      <c r="G513" s="172"/>
      <c r="H513" s="164"/>
      <c r="I513" s="164"/>
      <c r="J513" s="164"/>
      <c r="K513" s="165"/>
      <c r="L513" s="155"/>
      <c r="M513" s="156"/>
      <c r="N513" s="250"/>
      <c r="O513" s="157"/>
      <c r="P513" s="251"/>
      <c r="Q513" s="201"/>
      <c r="R513" s="523"/>
      <c r="S513" s="159"/>
      <c r="T513" s="391"/>
      <c r="U513" s="170"/>
    </row>
    <row r="514" spans="1:22" hidden="1" outlineLevel="2">
      <c r="A514" s="162"/>
      <c r="B514" s="171"/>
      <c r="C514" s="174" t="s">
        <v>493</v>
      </c>
      <c r="D514" s="340"/>
      <c r="E514" s="164"/>
      <c r="F514" s="165"/>
      <c r="G514" s="172"/>
      <c r="H514" s="164"/>
      <c r="I514" s="164"/>
      <c r="J514" s="164"/>
      <c r="K514" s="165"/>
      <c r="L514" s="155"/>
      <c r="M514" s="158">
        <v>450000</v>
      </c>
      <c r="N514" s="244">
        <f>M514*1.23</f>
        <v>553500</v>
      </c>
      <c r="O514" s="157"/>
      <c r="P514" s="251"/>
      <c r="Q514" s="201"/>
      <c r="R514" s="523"/>
      <c r="S514" s="159">
        <f t="shared" ref="S514" si="22">SUM(L514,N514,P514,R514)</f>
        <v>553500</v>
      </c>
      <c r="T514" s="391"/>
      <c r="U514" s="170"/>
    </row>
    <row r="515" spans="1:22" hidden="1" outlineLevel="2">
      <c r="A515" s="162"/>
      <c r="B515" s="171"/>
      <c r="C515" s="174" t="s">
        <v>494</v>
      </c>
      <c r="D515" s="340"/>
      <c r="E515" s="164"/>
      <c r="F515" s="165"/>
      <c r="G515" s="172"/>
      <c r="H515" s="164"/>
      <c r="I515" s="164"/>
      <c r="J515" s="164"/>
      <c r="K515" s="165"/>
      <c r="L515" s="155"/>
      <c r="M515" s="156"/>
      <c r="N515" s="250"/>
      <c r="O515" s="157"/>
      <c r="P515" s="251"/>
      <c r="Q515" s="201"/>
      <c r="R515" s="523"/>
      <c r="S515" s="159"/>
      <c r="T515" s="391"/>
      <c r="U515" s="170"/>
    </row>
    <row r="516" spans="1:22" hidden="1" outlineLevel="2">
      <c r="A516" s="162"/>
      <c r="B516" s="171"/>
      <c r="C516" s="151" t="s">
        <v>507</v>
      </c>
      <c r="D516" s="339"/>
      <c r="E516" s="164"/>
      <c r="F516" s="165"/>
      <c r="G516" s="172"/>
      <c r="H516" s="164"/>
      <c r="I516" s="164"/>
      <c r="J516" s="164"/>
      <c r="K516" s="165"/>
      <c r="L516" s="155"/>
      <c r="M516" s="156"/>
      <c r="N516" s="250"/>
      <c r="O516" s="157"/>
      <c r="P516" s="251"/>
      <c r="Q516" s="201"/>
      <c r="R516" s="523"/>
      <c r="S516" s="159"/>
      <c r="T516" s="391"/>
      <c r="U516" s="170"/>
    </row>
    <row r="517" spans="1:22" hidden="1" outlineLevel="2">
      <c r="A517" s="162"/>
      <c r="B517" s="171"/>
      <c r="C517" s="174" t="s">
        <v>496</v>
      </c>
      <c r="D517" s="340"/>
      <c r="E517" s="164"/>
      <c r="F517" s="165"/>
      <c r="G517" s="172"/>
      <c r="H517" s="164"/>
      <c r="I517" s="164"/>
      <c r="J517" s="164"/>
      <c r="K517" s="165"/>
      <c r="L517" s="155"/>
      <c r="M517" s="156"/>
      <c r="N517" s="250"/>
      <c r="O517" s="157"/>
      <c r="P517" s="251"/>
      <c r="Q517" s="201"/>
      <c r="R517" s="523"/>
      <c r="S517" s="159"/>
      <c r="T517" s="391"/>
      <c r="U517" s="170"/>
    </row>
    <row r="518" spans="1:22" hidden="1" outlineLevel="2">
      <c r="A518" s="162"/>
      <c r="B518" s="171"/>
      <c r="C518" s="174" t="s">
        <v>497</v>
      </c>
      <c r="D518" s="340"/>
      <c r="E518" s="164"/>
      <c r="F518" s="165"/>
      <c r="G518" s="172"/>
      <c r="H518" s="164"/>
      <c r="I518" s="164"/>
      <c r="J518" s="164"/>
      <c r="K518" s="165"/>
      <c r="L518" s="155"/>
      <c r="M518" s="156"/>
      <c r="N518" s="250"/>
      <c r="O518" s="157"/>
      <c r="P518" s="251"/>
      <c r="Q518" s="201"/>
      <c r="R518" s="523"/>
      <c r="S518" s="159"/>
      <c r="T518" s="391"/>
      <c r="U518" s="170"/>
      <c r="V518" t="s">
        <v>514</v>
      </c>
    </row>
    <row r="519" spans="1:22" hidden="1" outlineLevel="2">
      <c r="A519" s="162"/>
      <c r="B519" s="171"/>
      <c r="C519" s="174" t="s">
        <v>499</v>
      </c>
      <c r="D519" s="340"/>
      <c r="E519" s="164"/>
      <c r="F519" s="165"/>
      <c r="G519" s="172"/>
      <c r="H519" s="164"/>
      <c r="I519" s="164"/>
      <c r="J519" s="164"/>
      <c r="K519" s="165"/>
      <c r="L519" s="155"/>
      <c r="M519" s="156"/>
      <c r="N519" s="250"/>
      <c r="O519" s="157"/>
      <c r="P519" s="251"/>
      <c r="Q519" s="201"/>
      <c r="R519" s="523"/>
      <c r="S519" s="159"/>
      <c r="T519" s="391"/>
      <c r="U519" s="170"/>
    </row>
    <row r="520" spans="1:22" hidden="1" outlineLevel="2">
      <c r="A520" s="162"/>
      <c r="B520" s="171"/>
      <c r="C520" s="174" t="s">
        <v>526</v>
      </c>
      <c r="D520" s="340"/>
      <c r="E520" s="164"/>
      <c r="F520" s="165"/>
      <c r="G520" s="172"/>
      <c r="H520" s="164"/>
      <c r="I520" s="164"/>
      <c r="J520" s="164"/>
      <c r="K520" s="164">
        <f>CIP!$AV$133</f>
        <v>0</v>
      </c>
      <c r="L520" s="155">
        <f>SUM(G520:K520)</f>
        <v>0</v>
      </c>
      <c r="M520" s="202">
        <v>380000</v>
      </c>
      <c r="N520" s="244">
        <f>M520*1.23</f>
        <v>467400</v>
      </c>
      <c r="O520" s="157"/>
      <c r="P520" s="251"/>
      <c r="Q520" s="201"/>
      <c r="R520" s="523"/>
      <c r="S520" s="159">
        <f t="shared" ref="S520:S521" si="23">SUM(L520,N520,P520,R520)</f>
        <v>467400</v>
      </c>
      <c r="T520" s="391"/>
      <c r="U520" s="170"/>
    </row>
    <row r="521" spans="1:22" hidden="1" outlineLevel="2">
      <c r="A521" s="162"/>
      <c r="B521" s="171"/>
      <c r="C521" s="236" t="s">
        <v>536</v>
      </c>
      <c r="D521" s="340"/>
      <c r="E521" s="164"/>
      <c r="F521" s="165"/>
      <c r="G521" s="172"/>
      <c r="H521" s="164"/>
      <c r="I521" s="164"/>
      <c r="J521" s="164"/>
      <c r="K521" s="165"/>
      <c r="L521" s="155"/>
      <c r="M521" s="202"/>
      <c r="N521" s="250"/>
      <c r="O521" s="157"/>
      <c r="P521" s="251"/>
      <c r="Q521" s="201">
        <v>15000000</v>
      </c>
      <c r="R521" s="523">
        <f>Q521*1.73</f>
        <v>25950000</v>
      </c>
      <c r="S521" s="159">
        <f t="shared" si="23"/>
        <v>25950000</v>
      </c>
      <c r="T521" s="391"/>
      <c r="U521" s="170"/>
    </row>
    <row r="522" spans="1:22" hidden="1" outlineLevel="2">
      <c r="A522" s="162"/>
      <c r="B522" s="171"/>
      <c r="C522" s="151" t="s">
        <v>569</v>
      </c>
      <c r="D522" s="339"/>
      <c r="E522" s="164"/>
      <c r="F522" s="165"/>
      <c r="G522" s="172"/>
      <c r="H522" s="164"/>
      <c r="I522" s="164"/>
      <c r="J522" s="164"/>
      <c r="K522" s="165"/>
      <c r="L522" s="155"/>
      <c r="M522" s="156"/>
      <c r="N522" s="250"/>
      <c r="O522" s="157"/>
      <c r="P522" s="251"/>
      <c r="Q522" s="201"/>
      <c r="R522" s="523"/>
      <c r="S522" s="159"/>
      <c r="T522" s="391"/>
      <c r="U522" s="170"/>
    </row>
    <row r="523" spans="1:22" s="135" customFormat="1" hidden="1" outlineLevel="1" collapsed="1">
      <c r="A523" s="229"/>
      <c r="B523" s="151"/>
      <c r="C523" s="151" t="s">
        <v>567</v>
      </c>
      <c r="D523" s="339"/>
      <c r="E523" s="244"/>
      <c r="F523" s="248"/>
      <c r="G523" s="249"/>
      <c r="H523" s="244"/>
      <c r="I523" s="244"/>
      <c r="J523" s="244"/>
      <c r="K523" s="248">
        <f>SUM(K497:K522)</f>
        <v>0</v>
      </c>
      <c r="L523" s="159">
        <f>SUM(L497:L522)</f>
        <v>0</v>
      </c>
      <c r="M523" s="156">
        <f>SUM(M497:M522)</f>
        <v>1080000</v>
      </c>
      <c r="N523" s="244">
        <f>M523*1.23</f>
        <v>1328400</v>
      </c>
      <c r="O523" s="157">
        <f>SUM(O496:O522)</f>
        <v>100000</v>
      </c>
      <c r="P523" s="251">
        <f>O523*1.46</f>
        <v>146000</v>
      </c>
      <c r="Q523" s="201">
        <f>SUM(Q499:Q522)</f>
        <v>15000000</v>
      </c>
      <c r="R523" s="523">
        <f>Q523*1.73</f>
        <v>25950000</v>
      </c>
      <c r="S523" s="159">
        <f t="shared" ref="S523" si="24">SUM(L523,N523,P523,R523)</f>
        <v>27424400</v>
      </c>
      <c r="T523" s="391" t="s">
        <v>360</v>
      </c>
      <c r="U523" s="542"/>
    </row>
    <row r="524" spans="1:22" hidden="1" outlineLevel="2">
      <c r="A524" s="162"/>
      <c r="B524" s="151" t="s">
        <v>570</v>
      </c>
      <c r="C524" s="171"/>
      <c r="D524" s="345"/>
      <c r="E524" s="164"/>
      <c r="F524" s="165"/>
      <c r="G524" s="172"/>
      <c r="H524" s="164"/>
      <c r="I524" s="164"/>
      <c r="J524" s="164"/>
      <c r="K524" s="165"/>
      <c r="L524" s="155"/>
      <c r="M524" s="156"/>
      <c r="N524" s="250"/>
      <c r="O524" s="157"/>
      <c r="P524" s="251"/>
      <c r="Q524" s="201"/>
      <c r="R524" s="527"/>
      <c r="S524" s="159"/>
      <c r="T524" s="391"/>
      <c r="U524" s="170"/>
    </row>
    <row r="525" spans="1:22" hidden="1" outlineLevel="2">
      <c r="A525" s="162"/>
      <c r="B525" s="171"/>
      <c r="C525" s="151" t="s">
        <v>503</v>
      </c>
      <c r="D525" s="339"/>
      <c r="E525" s="164"/>
      <c r="F525" s="165"/>
      <c r="G525" s="172"/>
      <c r="H525" s="164"/>
      <c r="I525" s="164"/>
      <c r="J525" s="164"/>
      <c r="K525" s="165"/>
      <c r="L525" s="155"/>
      <c r="M525" s="156"/>
      <c r="N525" s="250"/>
      <c r="O525" s="157"/>
      <c r="P525" s="251"/>
      <c r="Q525" s="201"/>
      <c r="R525" s="523"/>
      <c r="S525" s="159"/>
      <c r="T525" s="391"/>
      <c r="U525" s="170"/>
    </row>
    <row r="526" spans="1:22" hidden="1" outlineLevel="2">
      <c r="A526" s="162"/>
      <c r="B526" s="171"/>
      <c r="C526" s="174" t="s">
        <v>520</v>
      </c>
      <c r="D526" s="340"/>
      <c r="E526" s="164"/>
      <c r="F526" s="165"/>
      <c r="G526" s="172"/>
      <c r="H526" s="164"/>
      <c r="I526" s="164"/>
      <c r="J526" s="164"/>
      <c r="K526" s="165"/>
      <c r="L526" s="155"/>
      <c r="M526" s="156"/>
      <c r="N526" s="250"/>
      <c r="O526" s="157"/>
      <c r="P526" s="251"/>
      <c r="Q526" s="201"/>
      <c r="R526" s="523"/>
      <c r="S526" s="159"/>
      <c r="T526" s="391"/>
      <c r="U526" s="170"/>
    </row>
    <row r="527" spans="1:22" hidden="1" outlineLevel="2">
      <c r="A527" s="162"/>
      <c r="B527" s="171"/>
      <c r="C527" s="174" t="s">
        <v>478</v>
      </c>
      <c r="D527" s="340"/>
      <c r="E527" s="164"/>
      <c r="F527" s="165"/>
      <c r="G527" s="172"/>
      <c r="H527" s="164"/>
      <c r="I527" s="164"/>
      <c r="J527" s="164"/>
      <c r="K527" s="165"/>
      <c r="L527" s="155"/>
      <c r="M527" s="156"/>
      <c r="N527" s="250"/>
      <c r="O527" s="157"/>
      <c r="P527" s="251"/>
      <c r="Q527" s="201"/>
      <c r="R527" s="523"/>
      <c r="S527" s="159"/>
      <c r="T527" s="391"/>
      <c r="U527" s="170"/>
    </row>
    <row r="528" spans="1:22" hidden="1" outlineLevel="2">
      <c r="A528" s="162"/>
      <c r="B528" s="171"/>
      <c r="C528" s="174" t="s">
        <v>479</v>
      </c>
      <c r="D528" s="340"/>
      <c r="E528" s="164"/>
      <c r="F528" s="165"/>
      <c r="G528" s="172"/>
      <c r="H528" s="164"/>
      <c r="I528" s="164"/>
      <c r="J528" s="164"/>
      <c r="K528" s="165"/>
      <c r="L528" s="196"/>
      <c r="M528" s="158">
        <v>200000</v>
      </c>
      <c r="N528" s="244">
        <f>M528*1.23</f>
        <v>246000</v>
      </c>
      <c r="O528" s="157"/>
      <c r="P528" s="251"/>
      <c r="Q528" s="201"/>
      <c r="R528" s="523"/>
      <c r="S528" s="159">
        <f t="shared" ref="S528:S553" si="25">SUM(L528,N528,P528,R528)</f>
        <v>246000</v>
      </c>
      <c r="T528" s="391"/>
      <c r="U528" s="161" t="s">
        <v>571</v>
      </c>
    </row>
    <row r="529" spans="1:21" hidden="1" outlineLevel="2">
      <c r="A529" s="162"/>
      <c r="B529" s="171"/>
      <c r="C529" s="174" t="s">
        <v>480</v>
      </c>
      <c r="D529" s="340"/>
      <c r="E529" s="164"/>
      <c r="F529" s="165"/>
      <c r="G529" s="172"/>
      <c r="H529" s="164"/>
      <c r="I529" s="164"/>
      <c r="J529" s="164"/>
      <c r="K529" s="165"/>
      <c r="L529" s="155"/>
      <c r="M529" s="158">
        <v>200000</v>
      </c>
      <c r="N529" s="244">
        <f>M529*1.23</f>
        <v>246000</v>
      </c>
      <c r="O529" s="157"/>
      <c r="P529" s="251"/>
      <c r="Q529" s="201"/>
      <c r="R529" s="523"/>
      <c r="S529" s="159">
        <f t="shared" si="25"/>
        <v>246000</v>
      </c>
      <c r="T529" s="391"/>
      <c r="U529" s="170"/>
    </row>
    <row r="530" spans="1:21" hidden="1" outlineLevel="2">
      <c r="A530" s="162"/>
      <c r="B530" s="171"/>
      <c r="C530" s="174" t="s">
        <v>512</v>
      </c>
      <c r="D530" s="340"/>
      <c r="E530" s="164"/>
      <c r="F530" s="165"/>
      <c r="G530" s="172"/>
      <c r="H530" s="164"/>
      <c r="I530" s="164"/>
      <c r="J530" s="164"/>
      <c r="K530" s="165"/>
      <c r="L530" s="155"/>
      <c r="M530" s="158"/>
      <c r="N530" s="250"/>
      <c r="O530" s="157"/>
      <c r="P530" s="251"/>
      <c r="Q530" s="201"/>
      <c r="R530" s="523"/>
      <c r="S530" s="159"/>
      <c r="T530" s="391"/>
      <c r="U530" s="170" t="s">
        <v>1144</v>
      </c>
    </row>
    <row r="531" spans="1:21" hidden="1" outlineLevel="2">
      <c r="A531" s="162"/>
      <c r="B531" s="171"/>
      <c r="C531" s="151" t="s">
        <v>504</v>
      </c>
      <c r="D531" s="339"/>
      <c r="E531" s="164"/>
      <c r="F531" s="165"/>
      <c r="G531" s="172"/>
      <c r="H531" s="164"/>
      <c r="I531" s="164"/>
      <c r="J531" s="164"/>
      <c r="K531" s="165"/>
      <c r="L531" s="155"/>
      <c r="M531" s="158"/>
      <c r="N531" s="250"/>
      <c r="O531" s="157"/>
      <c r="P531" s="251"/>
      <c r="Q531" s="201"/>
      <c r="R531" s="523"/>
      <c r="S531" s="159"/>
      <c r="T531" s="391"/>
      <c r="U531" s="170"/>
    </row>
    <row r="532" spans="1:21" hidden="1" outlineLevel="2">
      <c r="A532" s="162"/>
      <c r="B532" s="171"/>
      <c r="C532" s="174" t="s">
        <v>483</v>
      </c>
      <c r="D532" s="340"/>
      <c r="E532" s="164"/>
      <c r="F532" s="165"/>
      <c r="G532" s="172"/>
      <c r="H532" s="164"/>
      <c r="I532" s="164"/>
      <c r="J532" s="164"/>
      <c r="K532" s="165"/>
      <c r="L532" s="167"/>
      <c r="M532" s="156">
        <v>100000</v>
      </c>
      <c r="N532" s="244">
        <f>M532*1.23</f>
        <v>123000</v>
      </c>
      <c r="O532" s="157"/>
      <c r="P532" s="251"/>
      <c r="Q532" s="201"/>
      <c r="R532" s="523"/>
      <c r="S532" s="159">
        <f t="shared" si="25"/>
        <v>123000</v>
      </c>
      <c r="T532" s="391"/>
      <c r="U532" s="170"/>
    </row>
    <row r="533" spans="1:21" hidden="1" outlineLevel="2">
      <c r="A533" s="162"/>
      <c r="B533" s="171"/>
      <c r="C533" s="174" t="s">
        <v>484</v>
      </c>
      <c r="D533" s="340"/>
      <c r="E533" s="164"/>
      <c r="F533" s="165"/>
      <c r="G533" s="172"/>
      <c r="H533" s="164"/>
      <c r="I533" s="164"/>
      <c r="J533" s="164"/>
      <c r="K533" s="165"/>
      <c r="L533" s="167"/>
      <c r="M533" s="156"/>
      <c r="N533" s="250"/>
      <c r="O533" s="157"/>
      <c r="P533" s="251"/>
      <c r="Q533" s="201"/>
      <c r="R533" s="523"/>
      <c r="S533" s="159"/>
      <c r="T533" s="391"/>
      <c r="U533" s="170"/>
    </row>
    <row r="534" spans="1:21" hidden="1" outlineLevel="2">
      <c r="A534" s="162"/>
      <c r="B534" s="171"/>
      <c r="C534" s="174" t="s">
        <v>479</v>
      </c>
      <c r="D534" s="340"/>
      <c r="E534" s="164"/>
      <c r="F534" s="165"/>
      <c r="G534" s="172"/>
      <c r="H534" s="164"/>
      <c r="I534" s="164"/>
      <c r="J534" s="164"/>
      <c r="K534" s="165"/>
      <c r="L534" s="155"/>
      <c r="M534" s="156"/>
      <c r="N534" s="250"/>
      <c r="O534" s="157"/>
      <c r="P534" s="251"/>
      <c r="Q534" s="201"/>
      <c r="R534" s="523"/>
      <c r="S534" s="159"/>
      <c r="T534" s="391"/>
      <c r="U534" s="170"/>
    </row>
    <row r="535" spans="1:21" hidden="1" outlineLevel="2">
      <c r="A535" s="162"/>
      <c r="B535" s="171"/>
      <c r="C535" s="174" t="s">
        <v>485</v>
      </c>
      <c r="D535" s="340"/>
      <c r="E535" s="164"/>
      <c r="F535" s="165"/>
      <c r="G535" s="172"/>
      <c r="H535" s="164"/>
      <c r="I535" s="164"/>
      <c r="J535" s="164"/>
      <c r="K535" s="165"/>
      <c r="L535" s="155"/>
      <c r="M535" s="156"/>
      <c r="N535" s="250"/>
      <c r="O535" s="157"/>
      <c r="P535" s="251"/>
      <c r="Q535" s="201"/>
      <c r="R535" s="523"/>
      <c r="S535" s="159"/>
      <c r="T535" s="391"/>
      <c r="U535" s="161" t="s">
        <v>535</v>
      </c>
    </row>
    <row r="536" spans="1:21" hidden="1" outlineLevel="2">
      <c r="A536" s="162"/>
      <c r="B536" s="171"/>
      <c r="C536" s="151" t="s">
        <v>505</v>
      </c>
      <c r="D536" s="339"/>
      <c r="E536" s="164"/>
      <c r="F536" s="165"/>
      <c r="G536" s="172"/>
      <c r="H536" s="164"/>
      <c r="I536" s="164"/>
      <c r="J536" s="164"/>
      <c r="K536" s="165"/>
      <c r="L536" s="155"/>
      <c r="M536" s="156"/>
      <c r="N536" s="250"/>
      <c r="O536" s="157"/>
      <c r="P536" s="251"/>
      <c r="Q536" s="201"/>
      <c r="R536" s="523"/>
      <c r="S536" s="159"/>
      <c r="T536" s="391"/>
      <c r="U536" s="161"/>
    </row>
    <row r="537" spans="1:21" hidden="1" outlineLevel="2">
      <c r="A537" s="162"/>
      <c r="B537" s="171"/>
      <c r="C537" s="174" t="s">
        <v>487</v>
      </c>
      <c r="D537" s="340"/>
      <c r="E537" s="164"/>
      <c r="F537" s="165"/>
      <c r="G537" s="172"/>
      <c r="H537" s="164"/>
      <c r="I537" s="164"/>
      <c r="J537" s="164"/>
      <c r="K537" s="165"/>
      <c r="L537" s="155"/>
      <c r="M537" s="156"/>
      <c r="N537" s="250"/>
      <c r="O537" s="157"/>
      <c r="P537" s="251"/>
      <c r="Q537" s="201"/>
      <c r="R537" s="523"/>
      <c r="S537" s="159"/>
      <c r="T537" s="391"/>
      <c r="U537" s="161"/>
    </row>
    <row r="538" spans="1:21" hidden="1" outlineLevel="2">
      <c r="A538" s="162"/>
      <c r="B538" s="171"/>
      <c r="C538" s="174" t="s">
        <v>479</v>
      </c>
      <c r="D538" s="340"/>
      <c r="E538" s="164"/>
      <c r="F538" s="165"/>
      <c r="G538" s="172"/>
      <c r="H538" s="164"/>
      <c r="I538" s="164"/>
      <c r="J538" s="164"/>
      <c r="K538" s="165"/>
      <c r="L538" s="155"/>
      <c r="M538" s="156"/>
      <c r="N538" s="250"/>
      <c r="O538" s="157"/>
      <c r="P538" s="251"/>
      <c r="Q538" s="201"/>
      <c r="R538" s="523"/>
      <c r="S538" s="159"/>
      <c r="T538" s="391"/>
      <c r="U538" s="161"/>
    </row>
    <row r="539" spans="1:21" hidden="1" outlineLevel="2">
      <c r="A539" s="162"/>
      <c r="B539" s="171"/>
      <c r="C539" s="174" t="s">
        <v>488</v>
      </c>
      <c r="D539" s="340"/>
      <c r="E539" s="164"/>
      <c r="F539" s="165"/>
      <c r="G539" s="172"/>
      <c r="H539" s="164"/>
      <c r="I539" s="164"/>
      <c r="J539" s="164"/>
      <c r="K539" s="165"/>
      <c r="L539" s="155"/>
      <c r="M539" s="156"/>
      <c r="N539" s="250"/>
      <c r="O539" s="157"/>
      <c r="P539" s="251"/>
      <c r="Q539" s="201"/>
      <c r="R539" s="523"/>
      <c r="S539" s="159"/>
      <c r="T539" s="391"/>
      <c r="U539" s="161"/>
    </row>
    <row r="540" spans="1:21" hidden="1" outlineLevel="2">
      <c r="A540" s="162"/>
      <c r="B540" s="171"/>
      <c r="C540" s="174" t="s">
        <v>489</v>
      </c>
      <c r="D540" s="340"/>
      <c r="E540" s="164"/>
      <c r="F540" s="165"/>
      <c r="G540" s="172"/>
      <c r="H540" s="164"/>
      <c r="I540" s="164"/>
      <c r="J540" s="164"/>
      <c r="K540" s="165"/>
      <c r="L540" s="155"/>
      <c r="M540" s="156"/>
      <c r="N540" s="250"/>
      <c r="O540" s="157"/>
      <c r="P540" s="251"/>
      <c r="Q540" s="201"/>
      <c r="R540" s="523"/>
      <c r="S540" s="159"/>
      <c r="T540" s="391"/>
      <c r="U540" s="161"/>
    </row>
    <row r="541" spans="1:21" hidden="1" outlineLevel="2">
      <c r="A541" s="162"/>
      <c r="B541" s="171"/>
      <c r="C541" s="151" t="s">
        <v>506</v>
      </c>
      <c r="D541" s="339"/>
      <c r="E541" s="164"/>
      <c r="F541" s="165"/>
      <c r="G541" s="172"/>
      <c r="H541" s="164"/>
      <c r="I541" s="164"/>
      <c r="J541" s="164"/>
      <c r="K541" s="165"/>
      <c r="L541" s="155"/>
      <c r="M541" s="156"/>
      <c r="N541" s="250"/>
      <c r="O541" s="157"/>
      <c r="P541" s="251"/>
      <c r="Q541" s="201"/>
      <c r="R541" s="523"/>
      <c r="S541" s="159"/>
      <c r="T541" s="391"/>
      <c r="U541" s="161"/>
    </row>
    <row r="542" spans="1:21" hidden="1" outlineLevel="2">
      <c r="A542" s="162"/>
      <c r="B542" s="171"/>
      <c r="C542" s="174" t="s">
        <v>491</v>
      </c>
      <c r="D542" s="340"/>
      <c r="E542" s="164"/>
      <c r="F542" s="165"/>
      <c r="G542" s="172"/>
      <c r="H542" s="164"/>
      <c r="I542" s="164"/>
      <c r="J542" s="219"/>
      <c r="K542" s="217"/>
      <c r="L542" s="167"/>
      <c r="M542" s="202"/>
      <c r="N542" s="250"/>
      <c r="O542" s="203">
        <v>100000</v>
      </c>
      <c r="P542" s="251">
        <f>O542*1.46</f>
        <v>146000</v>
      </c>
      <c r="Q542" s="201"/>
      <c r="R542" s="523"/>
      <c r="S542" s="159">
        <f t="shared" si="25"/>
        <v>146000</v>
      </c>
      <c r="T542" s="391"/>
      <c r="U542" s="161" t="s">
        <v>572</v>
      </c>
    </row>
    <row r="543" spans="1:21" hidden="1" outlineLevel="2">
      <c r="A543" s="162"/>
      <c r="B543" s="171"/>
      <c r="C543" s="174" t="s">
        <v>492</v>
      </c>
      <c r="D543" s="340"/>
      <c r="E543" s="164"/>
      <c r="F543" s="165"/>
      <c r="G543" s="172"/>
      <c r="H543" s="164"/>
      <c r="I543" s="164"/>
      <c r="J543" s="219"/>
      <c r="K543" s="217"/>
      <c r="L543" s="167"/>
      <c r="M543" s="202">
        <v>500000</v>
      </c>
      <c r="N543" s="244">
        <f>M543*1.23</f>
        <v>615000</v>
      </c>
      <c r="O543" s="203"/>
      <c r="P543" s="251"/>
      <c r="Q543" s="201"/>
      <c r="R543" s="523"/>
      <c r="S543" s="159">
        <f t="shared" si="25"/>
        <v>615000</v>
      </c>
      <c r="T543" s="391"/>
      <c r="U543" s="170"/>
    </row>
    <row r="544" spans="1:21" hidden="1" outlineLevel="2">
      <c r="A544" s="162"/>
      <c r="B544" s="171"/>
      <c r="C544" s="174" t="s">
        <v>493</v>
      </c>
      <c r="D544" s="340"/>
      <c r="E544" s="164"/>
      <c r="F544" s="165"/>
      <c r="G544" s="172"/>
      <c r="H544" s="164"/>
      <c r="I544" s="164"/>
      <c r="J544" s="219"/>
      <c r="K544" s="217"/>
      <c r="L544" s="167"/>
      <c r="M544" s="201">
        <v>475000</v>
      </c>
      <c r="N544" s="244">
        <f>M544*1.23</f>
        <v>584250</v>
      </c>
      <c r="O544" s="203"/>
      <c r="P544" s="251"/>
      <c r="Q544" s="201"/>
      <c r="R544" s="523"/>
      <c r="S544" s="159">
        <f t="shared" si="25"/>
        <v>584250</v>
      </c>
      <c r="T544" s="391"/>
      <c r="U544" s="170"/>
    </row>
    <row r="545" spans="1:21" hidden="1" outlineLevel="2">
      <c r="A545" s="162"/>
      <c r="B545" s="171"/>
      <c r="C545" s="174" t="s">
        <v>494</v>
      </c>
      <c r="D545" s="340"/>
      <c r="E545" s="164"/>
      <c r="F545" s="165"/>
      <c r="G545" s="172"/>
      <c r="H545" s="164"/>
      <c r="I545" s="164"/>
      <c r="J545" s="219"/>
      <c r="K545" s="217"/>
      <c r="L545" s="167"/>
      <c r="M545" s="202"/>
      <c r="N545" s="250"/>
      <c r="O545" s="203"/>
      <c r="P545" s="251"/>
      <c r="Q545" s="201"/>
      <c r="R545" s="523"/>
      <c r="S545" s="159"/>
      <c r="T545" s="391"/>
      <c r="U545" s="170"/>
    </row>
    <row r="546" spans="1:21" hidden="1" outlineLevel="2">
      <c r="A546" s="162"/>
      <c r="B546" s="171"/>
      <c r="C546" s="151" t="s">
        <v>507</v>
      </c>
      <c r="D546" s="339"/>
      <c r="E546" s="164"/>
      <c r="F546" s="165"/>
      <c r="G546" s="172"/>
      <c r="H546" s="164"/>
      <c r="I546" s="164"/>
      <c r="J546" s="219"/>
      <c r="K546" s="217"/>
      <c r="L546" s="167"/>
      <c r="M546" s="202"/>
      <c r="N546" s="250"/>
      <c r="O546" s="203"/>
      <c r="P546" s="251"/>
      <c r="Q546" s="201"/>
      <c r="R546" s="523"/>
      <c r="S546" s="159"/>
      <c r="T546" s="391"/>
      <c r="U546" s="170"/>
    </row>
    <row r="547" spans="1:21" hidden="1" outlineLevel="2">
      <c r="A547" s="162"/>
      <c r="B547" s="171"/>
      <c r="C547" s="174" t="s">
        <v>496</v>
      </c>
      <c r="D547" s="340"/>
      <c r="E547" s="164"/>
      <c r="F547" s="165"/>
      <c r="G547" s="172"/>
      <c r="H547" s="164"/>
      <c r="I547" s="164"/>
      <c r="J547" s="219"/>
      <c r="K547" s="217"/>
      <c r="L547" s="167"/>
      <c r="M547" s="202"/>
      <c r="N547" s="250"/>
      <c r="O547" s="203"/>
      <c r="P547" s="251"/>
      <c r="Q547" s="201">
        <v>300000</v>
      </c>
      <c r="R547" s="523">
        <f>Q547*1.73</f>
        <v>519000</v>
      </c>
      <c r="S547" s="159">
        <f t="shared" si="25"/>
        <v>519000</v>
      </c>
      <c r="T547" s="391"/>
      <c r="U547" s="170"/>
    </row>
    <row r="548" spans="1:21" hidden="1" outlineLevel="2">
      <c r="A548" s="162"/>
      <c r="B548" s="171"/>
      <c r="C548" s="174" t="s">
        <v>497</v>
      </c>
      <c r="D548" s="340"/>
      <c r="E548" s="164"/>
      <c r="F548" s="165"/>
      <c r="G548" s="172"/>
      <c r="H548" s="164"/>
      <c r="I548" s="164"/>
      <c r="J548" s="219"/>
      <c r="K548" s="217"/>
      <c r="L548" s="167"/>
      <c r="M548" s="202"/>
      <c r="N548" s="250"/>
      <c r="O548" s="203"/>
      <c r="P548" s="251"/>
      <c r="Q548" s="201"/>
      <c r="R548" s="523"/>
      <c r="S548" s="159"/>
      <c r="T548" s="391"/>
      <c r="U548" s="170"/>
    </row>
    <row r="549" spans="1:21" hidden="1" outlineLevel="2">
      <c r="A549" s="162"/>
      <c r="B549" s="171"/>
      <c r="C549" s="174" t="s">
        <v>499</v>
      </c>
      <c r="D549" s="340"/>
      <c r="E549" s="164"/>
      <c r="F549" s="165"/>
      <c r="G549" s="172"/>
      <c r="H549" s="164"/>
      <c r="I549" s="164"/>
      <c r="J549" s="164"/>
      <c r="K549" s="165"/>
      <c r="L549" s="155"/>
      <c r="M549" s="156"/>
      <c r="N549" s="250"/>
      <c r="O549" s="157"/>
      <c r="P549" s="251"/>
      <c r="Q549" s="201"/>
      <c r="R549" s="523"/>
      <c r="S549" s="159"/>
      <c r="T549" s="391"/>
      <c r="U549" s="170"/>
    </row>
    <row r="550" spans="1:21" hidden="1" outlineLevel="2">
      <c r="A550" s="162"/>
      <c r="B550" s="171"/>
      <c r="C550" s="174" t="s">
        <v>526</v>
      </c>
      <c r="D550" s="340"/>
      <c r="E550" s="164"/>
      <c r="F550" s="165"/>
      <c r="G550" s="172"/>
      <c r="H550" s="164"/>
      <c r="I550" s="164"/>
      <c r="J550" s="164"/>
      <c r="K550" s="165"/>
      <c r="L550" s="155"/>
      <c r="M550" s="156"/>
      <c r="N550" s="250"/>
      <c r="O550" s="157"/>
      <c r="P550" s="251"/>
      <c r="Q550" s="201"/>
      <c r="R550" s="523"/>
      <c r="S550" s="159"/>
      <c r="T550" s="391"/>
      <c r="U550" s="170"/>
    </row>
    <row r="551" spans="1:21" hidden="1" outlineLevel="2">
      <c r="A551" s="162"/>
      <c r="B551" s="171"/>
      <c r="C551" s="236" t="s">
        <v>536</v>
      </c>
      <c r="D551" s="340"/>
      <c r="E551" s="164"/>
      <c r="F551" s="165"/>
      <c r="G551" s="172"/>
      <c r="H551" s="164"/>
      <c r="I551" s="164"/>
      <c r="J551" s="164"/>
      <c r="K551" s="165"/>
      <c r="L551" s="155"/>
      <c r="M551" s="156"/>
      <c r="N551" s="250"/>
      <c r="O551" s="157"/>
      <c r="P551" s="251"/>
      <c r="Q551" s="201">
        <v>15000000</v>
      </c>
      <c r="R551" s="523">
        <f>Q551*1.73</f>
        <v>25950000</v>
      </c>
      <c r="S551" s="159">
        <f t="shared" si="25"/>
        <v>25950000</v>
      </c>
      <c r="T551" s="391"/>
      <c r="U551" s="170"/>
    </row>
    <row r="552" spans="1:21" hidden="1" outlineLevel="2">
      <c r="A552" s="162"/>
      <c r="B552" s="171"/>
      <c r="C552" s="151" t="s">
        <v>569</v>
      </c>
      <c r="D552" s="339"/>
      <c r="E552" s="164"/>
      <c r="F552" s="165"/>
      <c r="G552" s="172"/>
      <c r="H552" s="164"/>
      <c r="I552" s="164"/>
      <c r="J552" s="164"/>
      <c r="K552" s="165"/>
      <c r="L552" s="155"/>
      <c r="M552" s="156"/>
      <c r="N552" s="250"/>
      <c r="O552" s="157"/>
      <c r="P552" s="251"/>
      <c r="Q552" s="201"/>
      <c r="R552" s="523"/>
      <c r="S552" s="159"/>
      <c r="T552" s="391"/>
      <c r="U552" s="170"/>
    </row>
    <row r="553" spans="1:21" s="135" customFormat="1" hidden="1" outlineLevel="1" collapsed="1">
      <c r="A553" s="229"/>
      <c r="B553" s="151"/>
      <c r="C553" s="151" t="s">
        <v>570</v>
      </c>
      <c r="D553" s="339"/>
      <c r="E553" s="244"/>
      <c r="F553" s="248"/>
      <c r="G553" s="249"/>
      <c r="H553" s="244"/>
      <c r="I553" s="244"/>
      <c r="J553" s="244"/>
      <c r="K553" s="248"/>
      <c r="L553" s="159"/>
      <c r="M553" s="156">
        <f>SUM(M526:M552)</f>
        <v>1475000</v>
      </c>
      <c r="N553" s="244">
        <f>M553*1.23</f>
        <v>1814250</v>
      </c>
      <c r="O553" s="157">
        <f>SUM(O526:O552)</f>
        <v>100000</v>
      </c>
      <c r="P553" s="251">
        <f>O553*1.46</f>
        <v>146000</v>
      </c>
      <c r="Q553" s="201">
        <f>SUM(Q527:Q552)</f>
        <v>15300000</v>
      </c>
      <c r="R553" s="523">
        <f>Q553*1.73</f>
        <v>26469000</v>
      </c>
      <c r="S553" s="159">
        <f t="shared" si="25"/>
        <v>28429250</v>
      </c>
      <c r="T553" s="391" t="s">
        <v>360</v>
      </c>
      <c r="U553" s="542"/>
    </row>
    <row r="554" spans="1:21" hidden="1" outlineLevel="2">
      <c r="A554" s="162"/>
      <c r="B554" s="151" t="s">
        <v>573</v>
      </c>
      <c r="C554" s="171"/>
      <c r="D554" s="345"/>
      <c r="E554" s="164"/>
      <c r="F554" s="165"/>
      <c r="G554" s="172"/>
      <c r="H554" s="164"/>
      <c r="I554" s="164"/>
      <c r="J554" s="164"/>
      <c r="K554" s="165"/>
      <c r="L554" s="155"/>
      <c r="M554" s="156"/>
      <c r="N554" s="244"/>
      <c r="O554" s="157"/>
      <c r="P554" s="251"/>
      <c r="Q554" s="201"/>
      <c r="R554" s="523"/>
      <c r="S554" s="159"/>
      <c r="T554" s="391"/>
      <c r="U554" s="170"/>
    </row>
    <row r="555" spans="1:21" hidden="1" outlineLevel="2">
      <c r="A555" s="162"/>
      <c r="B555" s="171"/>
      <c r="C555" s="151" t="s">
        <v>503</v>
      </c>
      <c r="D555" s="339"/>
      <c r="E555" s="164"/>
      <c r="F555" s="165"/>
      <c r="G555" s="172"/>
      <c r="H555" s="164"/>
      <c r="I555" s="164"/>
      <c r="J555" s="164"/>
      <c r="K555" s="165"/>
      <c r="L555" s="155"/>
      <c r="M555" s="156"/>
      <c r="N555" s="244"/>
      <c r="O555" s="157"/>
      <c r="P555" s="251"/>
      <c r="Q555" s="201"/>
      <c r="R555" s="523"/>
      <c r="S555" s="159"/>
      <c r="T555" s="391"/>
      <c r="U555" s="170"/>
    </row>
    <row r="556" spans="1:21" hidden="1" outlineLevel="2">
      <c r="A556" s="162"/>
      <c r="B556" s="171"/>
      <c r="C556" s="174" t="s">
        <v>520</v>
      </c>
      <c r="D556" s="340"/>
      <c r="E556" s="164"/>
      <c r="F556" s="165"/>
      <c r="G556" s="172"/>
      <c r="H556" s="164"/>
      <c r="I556" s="164"/>
      <c r="J556" s="164"/>
      <c r="K556" s="165"/>
      <c r="L556" s="155"/>
      <c r="M556" s="156">
        <v>250000</v>
      </c>
      <c r="N556" s="244">
        <f>M556*1.23</f>
        <v>307500</v>
      </c>
      <c r="O556" s="157"/>
      <c r="P556" s="251"/>
      <c r="Q556" s="201"/>
      <c r="R556" s="523"/>
      <c r="S556" s="159">
        <f t="shared" ref="S556" si="26">SUM(L556,N556,P556,R556)</f>
        <v>307500</v>
      </c>
      <c r="T556" s="391"/>
      <c r="U556" s="170" t="s">
        <v>1004</v>
      </c>
    </row>
    <row r="557" spans="1:21" hidden="1" outlineLevel="2">
      <c r="A557" s="162"/>
      <c r="B557" s="171"/>
      <c r="C557" s="174" t="s">
        <v>478</v>
      </c>
      <c r="D557" s="340"/>
      <c r="E557" s="164"/>
      <c r="F557" s="165"/>
      <c r="G557" s="172"/>
      <c r="H557" s="164"/>
      <c r="I557" s="164"/>
      <c r="J557" s="164"/>
      <c r="K557" s="165"/>
      <c r="L557" s="155"/>
      <c r="M557" s="156"/>
      <c r="N557" s="244"/>
      <c r="O557" s="157"/>
      <c r="P557" s="251"/>
      <c r="Q557" s="201"/>
      <c r="R557" s="523"/>
      <c r="S557" s="159"/>
      <c r="T557" s="391"/>
      <c r="U557" s="170"/>
    </row>
    <row r="558" spans="1:21" hidden="1" outlineLevel="2">
      <c r="A558" s="162"/>
      <c r="B558" s="171"/>
      <c r="C558" s="174" t="s">
        <v>479</v>
      </c>
      <c r="D558" s="340"/>
      <c r="E558" s="164"/>
      <c r="F558" s="165"/>
      <c r="G558" s="172"/>
      <c r="H558" s="164"/>
      <c r="I558" s="164"/>
      <c r="J558" s="164"/>
      <c r="K558" s="165"/>
      <c r="L558" s="213"/>
      <c r="M558" s="214"/>
      <c r="N558" s="244"/>
      <c r="O558" s="157"/>
      <c r="P558" s="251"/>
      <c r="Q558" s="201"/>
      <c r="R558" s="523"/>
      <c r="S558" s="159"/>
      <c r="T558" s="391"/>
      <c r="U558" s="170"/>
    </row>
    <row r="559" spans="1:21" hidden="1" outlineLevel="2">
      <c r="A559" s="162"/>
      <c r="B559" s="171"/>
      <c r="C559" s="174" t="s">
        <v>480</v>
      </c>
      <c r="D559" s="340"/>
      <c r="E559" s="164"/>
      <c r="F559" s="165"/>
      <c r="G559" s="172"/>
      <c r="H559" s="164"/>
      <c r="I559" s="164"/>
      <c r="J559" s="219"/>
      <c r="K559" s="217"/>
      <c r="L559" s="167"/>
      <c r="M559" s="202"/>
      <c r="N559" s="244"/>
      <c r="O559" s="203"/>
      <c r="P559" s="251"/>
      <c r="Q559" s="201"/>
      <c r="R559" s="523"/>
      <c r="S559" s="159"/>
      <c r="T559" s="391"/>
      <c r="U559" s="170"/>
    </row>
    <row r="560" spans="1:21" hidden="1" outlineLevel="2">
      <c r="A560" s="162"/>
      <c r="B560" s="171"/>
      <c r="C560" s="174" t="s">
        <v>524</v>
      </c>
      <c r="D560" s="340"/>
      <c r="E560" s="164"/>
      <c r="F560" s="165"/>
      <c r="G560" s="172"/>
      <c r="H560" s="164"/>
      <c r="I560" s="164"/>
      <c r="J560" s="219"/>
      <c r="K560" s="217"/>
      <c r="L560" s="167"/>
      <c r="M560" s="202"/>
      <c r="N560" s="244"/>
      <c r="O560" s="203"/>
      <c r="P560" s="251"/>
      <c r="Q560" s="201"/>
      <c r="R560" s="523"/>
      <c r="S560" s="159"/>
      <c r="T560" s="391"/>
      <c r="U560" s="170"/>
    </row>
    <row r="561" spans="1:21" hidden="1" outlineLevel="2">
      <c r="A561" s="162"/>
      <c r="B561" s="171"/>
      <c r="C561" s="151" t="s">
        <v>504</v>
      </c>
      <c r="D561" s="339"/>
      <c r="E561" s="164"/>
      <c r="F561" s="165"/>
      <c r="G561" s="172"/>
      <c r="H561" s="164"/>
      <c r="I561" s="164"/>
      <c r="J561" s="219"/>
      <c r="K561" s="217"/>
      <c r="L561" s="167"/>
      <c r="M561" s="202"/>
      <c r="N561" s="244"/>
      <c r="O561" s="203"/>
      <c r="P561" s="251"/>
      <c r="Q561" s="201"/>
      <c r="R561" s="523"/>
      <c r="S561" s="159"/>
      <c r="T561" s="391"/>
      <c r="U561" s="170"/>
    </row>
    <row r="562" spans="1:21" hidden="1" outlineLevel="2">
      <c r="A562" s="162"/>
      <c r="B562" s="171"/>
      <c r="C562" s="174" t="s">
        <v>483</v>
      </c>
      <c r="D562" s="340"/>
      <c r="E562" s="164"/>
      <c r="F562" s="165"/>
      <c r="G562" s="172"/>
      <c r="H562" s="439">
        <f>CIP!$AS$50</f>
        <v>0</v>
      </c>
      <c r="I562" s="164"/>
      <c r="J562" s="219"/>
      <c r="K562" s="217"/>
      <c r="L562" s="167">
        <f>SUM(G562:K562)</f>
        <v>0</v>
      </c>
      <c r="M562" s="202"/>
      <c r="N562" s="244"/>
      <c r="O562" s="203"/>
      <c r="P562" s="251"/>
      <c r="Q562" s="201"/>
      <c r="R562" s="523"/>
      <c r="S562" s="159">
        <f t="shared" ref="S562:S583" si="27">SUM(L562,N562,P562,R562)</f>
        <v>0</v>
      </c>
      <c r="T562" s="391"/>
      <c r="U562" s="170"/>
    </row>
    <row r="563" spans="1:21" hidden="1" outlineLevel="2">
      <c r="A563" s="162"/>
      <c r="B563" s="171"/>
      <c r="C563" s="174" t="s">
        <v>484</v>
      </c>
      <c r="D563" s="340"/>
      <c r="E563" s="164"/>
      <c r="F563" s="165"/>
      <c r="G563" s="172"/>
      <c r="H563" s="164"/>
      <c r="I563" s="164"/>
      <c r="J563" s="219"/>
      <c r="K563" s="217"/>
      <c r="L563" s="167"/>
      <c r="M563" s="202">
        <v>225000</v>
      </c>
      <c r="N563" s="244">
        <f>M563*1.23</f>
        <v>276750</v>
      </c>
      <c r="O563" s="203"/>
      <c r="P563" s="251"/>
      <c r="Q563" s="201"/>
      <c r="R563" s="523"/>
      <c r="S563" s="159">
        <f t="shared" si="27"/>
        <v>276750</v>
      </c>
      <c r="T563" s="391"/>
      <c r="U563" s="170"/>
    </row>
    <row r="564" spans="1:21" hidden="1" outlineLevel="2">
      <c r="A564" s="162"/>
      <c r="B564" s="171"/>
      <c r="C564" s="174" t="s">
        <v>479</v>
      </c>
      <c r="D564" s="340"/>
      <c r="E564" s="164"/>
      <c r="F564" s="165"/>
      <c r="G564" s="172"/>
      <c r="H564" s="164"/>
      <c r="I564" s="164"/>
      <c r="J564" s="219"/>
      <c r="K564" s="217"/>
      <c r="L564" s="167"/>
      <c r="M564" s="202"/>
      <c r="N564" s="244"/>
      <c r="O564" s="203"/>
      <c r="P564" s="251"/>
      <c r="Q564" s="201"/>
      <c r="R564" s="523"/>
      <c r="S564" s="159"/>
      <c r="T564" s="391"/>
      <c r="U564" s="170"/>
    </row>
    <row r="565" spans="1:21" hidden="1" outlineLevel="2">
      <c r="A565" s="162"/>
      <c r="B565" s="171"/>
      <c r="C565" s="174" t="s">
        <v>485</v>
      </c>
      <c r="D565" s="340"/>
      <c r="E565" s="164"/>
      <c r="F565" s="165"/>
      <c r="G565" s="172"/>
      <c r="H565" s="164"/>
      <c r="I565" s="164"/>
      <c r="J565" s="219"/>
      <c r="K565" s="217"/>
      <c r="L565" s="167"/>
      <c r="M565" s="202"/>
      <c r="N565" s="244"/>
      <c r="O565" s="203"/>
      <c r="P565" s="251"/>
      <c r="Q565" s="201"/>
      <c r="R565" s="523"/>
      <c r="S565" s="159"/>
      <c r="T565" s="391"/>
      <c r="U565" s="161" t="s">
        <v>576</v>
      </c>
    </row>
    <row r="566" spans="1:21" hidden="1" outlineLevel="2">
      <c r="A566" s="162"/>
      <c r="B566" s="171"/>
      <c r="C566" s="151" t="s">
        <v>505</v>
      </c>
      <c r="D566" s="339"/>
      <c r="E566" s="164"/>
      <c r="F566" s="165"/>
      <c r="G566" s="172"/>
      <c r="H566" s="164"/>
      <c r="I566" s="164"/>
      <c r="J566" s="219"/>
      <c r="K566" s="217"/>
      <c r="L566" s="167"/>
      <c r="M566" s="202"/>
      <c r="N566" s="244"/>
      <c r="O566" s="203"/>
      <c r="P566" s="251"/>
      <c r="Q566" s="201"/>
      <c r="R566" s="523"/>
      <c r="S566" s="159"/>
      <c r="T566" s="391"/>
      <c r="U566" s="170"/>
    </row>
    <row r="567" spans="1:21" hidden="1" outlineLevel="2">
      <c r="A567" s="162"/>
      <c r="B567" s="171"/>
      <c r="C567" s="174" t="s">
        <v>487</v>
      </c>
      <c r="D567" s="340"/>
      <c r="E567" s="164"/>
      <c r="F567" s="165"/>
      <c r="G567" s="172"/>
      <c r="H567" s="164"/>
      <c r="I567" s="164"/>
      <c r="J567" s="219"/>
      <c r="K567" s="217"/>
      <c r="L567" s="167"/>
      <c r="M567" s="202"/>
      <c r="N567" s="244"/>
      <c r="O567" s="203"/>
      <c r="P567" s="251"/>
      <c r="Q567" s="201"/>
      <c r="R567" s="523"/>
      <c r="S567" s="159"/>
      <c r="T567" s="391"/>
      <c r="U567" s="170"/>
    </row>
    <row r="568" spans="1:21" hidden="1" outlineLevel="2">
      <c r="A568" s="162"/>
      <c r="B568" s="171"/>
      <c r="C568" s="174" t="s">
        <v>479</v>
      </c>
      <c r="D568" s="340"/>
      <c r="E568" s="164"/>
      <c r="F568" s="165"/>
      <c r="G568" s="172"/>
      <c r="H568" s="164"/>
      <c r="I568" s="164"/>
      <c r="J568" s="219"/>
      <c r="K568" s="217"/>
      <c r="L568" s="167"/>
      <c r="M568" s="202"/>
      <c r="N568" s="244"/>
      <c r="O568" s="203"/>
      <c r="P568" s="251"/>
      <c r="Q568" s="201"/>
      <c r="R568" s="523"/>
      <c r="S568" s="159"/>
      <c r="T568" s="391"/>
      <c r="U568" s="170"/>
    </row>
    <row r="569" spans="1:21" hidden="1" outlineLevel="2">
      <c r="A569" s="162"/>
      <c r="B569" s="171"/>
      <c r="C569" s="174" t="s">
        <v>488</v>
      </c>
      <c r="D569" s="340"/>
      <c r="E569" s="164"/>
      <c r="F569" s="165"/>
      <c r="G569" s="172"/>
      <c r="H569" s="164"/>
      <c r="I569" s="164"/>
      <c r="J569" s="219"/>
      <c r="K569" s="217"/>
      <c r="L569" s="167"/>
      <c r="M569" s="202">
        <v>120000</v>
      </c>
      <c r="N569" s="244">
        <f>M569*1.23</f>
        <v>147600</v>
      </c>
      <c r="O569" s="203"/>
      <c r="P569" s="251"/>
      <c r="Q569" s="201"/>
      <c r="R569" s="523"/>
      <c r="S569" s="159">
        <f t="shared" si="27"/>
        <v>147600</v>
      </c>
      <c r="T569" s="391"/>
      <c r="U569" s="170"/>
    </row>
    <row r="570" spans="1:21" hidden="1" outlineLevel="2">
      <c r="A570" s="162"/>
      <c r="B570" s="171"/>
      <c r="C570" s="174" t="s">
        <v>489</v>
      </c>
      <c r="D570" s="340"/>
      <c r="E570" s="164"/>
      <c r="F570" s="165"/>
      <c r="G570" s="172"/>
      <c r="H570" s="164"/>
      <c r="I570" s="164"/>
      <c r="J570" s="219"/>
      <c r="K570" s="217"/>
      <c r="L570" s="167"/>
      <c r="M570" s="202"/>
      <c r="N570" s="244"/>
      <c r="O570" s="203"/>
      <c r="P570" s="251"/>
      <c r="Q570" s="201"/>
      <c r="R570" s="523"/>
      <c r="S570" s="159"/>
      <c r="T570" s="391"/>
      <c r="U570" s="170"/>
    </row>
    <row r="571" spans="1:21" hidden="1" outlineLevel="2">
      <c r="A571" s="162"/>
      <c r="B571" s="171"/>
      <c r="C571" s="151" t="s">
        <v>506</v>
      </c>
      <c r="D571" s="339"/>
      <c r="E571" s="164"/>
      <c r="F571" s="165"/>
      <c r="G571" s="172"/>
      <c r="H571" s="164"/>
      <c r="I571" s="164"/>
      <c r="J571" s="219"/>
      <c r="K571" s="217"/>
      <c r="L571" s="167"/>
      <c r="M571" s="202"/>
      <c r="N571" s="244"/>
      <c r="O571" s="203"/>
      <c r="P571" s="251"/>
      <c r="Q571" s="201"/>
      <c r="R571" s="523"/>
      <c r="S571" s="159"/>
      <c r="T571" s="391"/>
      <c r="U571" s="170"/>
    </row>
    <row r="572" spans="1:21" hidden="1" outlineLevel="2">
      <c r="A572" s="162"/>
      <c r="B572" s="171"/>
      <c r="C572" s="174" t="s">
        <v>491</v>
      </c>
      <c r="D572" s="340"/>
      <c r="E572" s="164"/>
      <c r="F572" s="165"/>
      <c r="G572" s="260"/>
      <c r="H572" s="219">
        <f>CIP!$AS$43</f>
        <v>0</v>
      </c>
      <c r="I572" s="217"/>
      <c r="J572" s="217"/>
      <c r="K572" s="217"/>
      <c r="L572" s="167">
        <f>SUM(G572:K572)</f>
        <v>0</v>
      </c>
      <c r="M572" s="202"/>
      <c r="N572" s="244"/>
      <c r="O572" s="203"/>
      <c r="P572" s="251"/>
      <c r="Q572" s="201"/>
      <c r="R572" s="523"/>
      <c r="S572" s="159">
        <f t="shared" si="27"/>
        <v>0</v>
      </c>
      <c r="T572" s="391"/>
      <c r="U572" s="170" t="s">
        <v>1112</v>
      </c>
    </row>
    <row r="573" spans="1:21" hidden="1" outlineLevel="2">
      <c r="A573" s="162"/>
      <c r="B573" s="171"/>
      <c r="C573" s="174" t="s">
        <v>492</v>
      </c>
      <c r="D573" s="340"/>
      <c r="E573" s="164"/>
      <c r="F573" s="165"/>
      <c r="G573" s="172"/>
      <c r="H573" s="164"/>
      <c r="I573" s="164"/>
      <c r="J573" s="219"/>
      <c r="K573" s="217"/>
      <c r="L573" s="167"/>
      <c r="M573" s="202"/>
      <c r="N573" s="244"/>
      <c r="O573" s="203"/>
      <c r="P573" s="251"/>
      <c r="Q573" s="201"/>
      <c r="R573" s="523"/>
      <c r="S573" s="159"/>
      <c r="T573" s="391"/>
      <c r="U573" s="170"/>
    </row>
    <row r="574" spans="1:21" hidden="1" outlineLevel="2">
      <c r="A574" s="162"/>
      <c r="B574" s="171"/>
      <c r="C574" s="174" t="s">
        <v>493</v>
      </c>
      <c r="D574" s="340"/>
      <c r="E574" s="164"/>
      <c r="F574" s="165"/>
      <c r="G574" s="172"/>
      <c r="H574" s="164"/>
      <c r="I574" s="164">
        <f>CIP!$AT$83</f>
        <v>0</v>
      </c>
      <c r="J574" s="219"/>
      <c r="K574" s="217"/>
      <c r="L574" s="167">
        <f>SUM(G574:K574)</f>
        <v>0</v>
      </c>
      <c r="M574" s="202"/>
      <c r="N574" s="244"/>
      <c r="O574" s="203"/>
      <c r="P574" s="251"/>
      <c r="Q574" s="201"/>
      <c r="R574" s="523"/>
      <c r="S574" s="159">
        <f t="shared" si="27"/>
        <v>0</v>
      </c>
      <c r="T574" s="391"/>
      <c r="U574" s="170"/>
    </row>
    <row r="575" spans="1:21" hidden="1" outlineLevel="2">
      <c r="A575" s="162"/>
      <c r="B575" s="171"/>
      <c r="C575" s="174" t="s">
        <v>494</v>
      </c>
      <c r="D575" s="340"/>
      <c r="E575" s="164"/>
      <c r="F575" s="165"/>
      <c r="G575" s="172"/>
      <c r="H575" s="164"/>
      <c r="I575" s="164"/>
      <c r="J575" s="219"/>
      <c r="K575" s="217"/>
      <c r="L575" s="167"/>
      <c r="M575" s="202"/>
      <c r="N575" s="244"/>
      <c r="O575" s="203"/>
      <c r="P575" s="251"/>
      <c r="Q575" s="201"/>
      <c r="R575" s="523"/>
      <c r="S575" s="159"/>
      <c r="T575" s="391"/>
      <c r="U575" s="170"/>
    </row>
    <row r="576" spans="1:21" hidden="1" outlineLevel="2">
      <c r="A576" s="162"/>
      <c r="B576" s="171"/>
      <c r="C576" s="151" t="s">
        <v>507</v>
      </c>
      <c r="D576" s="339"/>
      <c r="E576" s="164"/>
      <c r="F576" s="165"/>
      <c r="G576" s="172"/>
      <c r="H576" s="164"/>
      <c r="I576" s="164"/>
      <c r="J576" s="219"/>
      <c r="K576" s="217"/>
      <c r="L576" s="167"/>
      <c r="M576" s="202"/>
      <c r="N576" s="244"/>
      <c r="O576" s="203"/>
      <c r="P576" s="251"/>
      <c r="Q576" s="201"/>
      <c r="R576" s="523"/>
      <c r="S576" s="159"/>
      <c r="T576" s="391"/>
      <c r="U576" s="170"/>
    </row>
    <row r="577" spans="1:21" hidden="1" outlineLevel="2">
      <c r="A577" s="162"/>
      <c r="B577" s="171"/>
      <c r="C577" s="174" t="s">
        <v>496</v>
      </c>
      <c r="D577" s="340"/>
      <c r="E577" s="164"/>
      <c r="F577" s="165"/>
      <c r="G577" s="172"/>
      <c r="H577" s="164"/>
      <c r="I577" s="164"/>
      <c r="J577" s="219"/>
      <c r="K577" s="217"/>
      <c r="L577" s="167"/>
      <c r="M577" s="202">
        <v>250000</v>
      </c>
      <c r="N577" s="244">
        <f>M577*1.23</f>
        <v>307500</v>
      </c>
      <c r="O577" s="203"/>
      <c r="P577" s="251"/>
      <c r="Q577" s="201"/>
      <c r="R577" s="523"/>
      <c r="S577" s="159">
        <f t="shared" si="27"/>
        <v>307500</v>
      </c>
      <c r="T577" s="391"/>
      <c r="U577" s="170"/>
    </row>
    <row r="578" spans="1:21" hidden="1" outlineLevel="2">
      <c r="A578" s="162"/>
      <c r="B578" s="171"/>
      <c r="C578" s="174" t="s">
        <v>497</v>
      </c>
      <c r="D578" s="340"/>
      <c r="E578" s="164"/>
      <c r="F578" s="165"/>
      <c r="G578" s="172"/>
      <c r="H578" s="164"/>
      <c r="I578" s="164"/>
      <c r="J578" s="164"/>
      <c r="K578" s="165"/>
      <c r="L578" s="167"/>
      <c r="M578" s="202"/>
      <c r="N578" s="244"/>
      <c r="O578" s="203"/>
      <c r="P578" s="251"/>
      <c r="Q578" s="201"/>
      <c r="R578" s="523"/>
      <c r="S578" s="159"/>
      <c r="T578" s="391"/>
      <c r="U578" s="170"/>
    </row>
    <row r="579" spans="1:21" hidden="1" outlineLevel="2">
      <c r="A579" s="162"/>
      <c r="B579" s="171"/>
      <c r="C579" s="174" t="s">
        <v>499</v>
      </c>
      <c r="D579" s="340"/>
      <c r="E579" s="164"/>
      <c r="F579" s="165"/>
      <c r="G579" s="172"/>
      <c r="H579" s="164"/>
      <c r="I579" s="164"/>
      <c r="J579" s="164"/>
      <c r="K579" s="165"/>
      <c r="L579" s="167"/>
      <c r="M579" s="202"/>
      <c r="N579" s="244"/>
      <c r="O579" s="203"/>
      <c r="P579" s="251"/>
      <c r="Q579" s="201"/>
      <c r="R579" s="523"/>
      <c r="S579" s="159"/>
      <c r="T579" s="391"/>
      <c r="U579" s="170"/>
    </row>
    <row r="580" spans="1:21" hidden="1" outlineLevel="2">
      <c r="A580" s="162"/>
      <c r="B580" s="171"/>
      <c r="C580" s="174" t="s">
        <v>526</v>
      </c>
      <c r="D580" s="340"/>
      <c r="E580" s="164"/>
      <c r="F580" s="165"/>
      <c r="G580" s="172"/>
      <c r="H580" s="164"/>
      <c r="I580" s="164"/>
      <c r="J580" s="164"/>
      <c r="K580" s="165"/>
      <c r="L580" s="167"/>
      <c r="M580" s="202">
        <v>100000</v>
      </c>
      <c r="N580" s="244">
        <f>M580*1.23</f>
        <v>123000</v>
      </c>
      <c r="O580" s="203"/>
      <c r="P580" s="251"/>
      <c r="Q580" s="201"/>
      <c r="R580" s="523"/>
      <c r="S580" s="159">
        <f t="shared" si="27"/>
        <v>123000</v>
      </c>
      <c r="T580" s="391"/>
      <c r="U580" s="170" t="s">
        <v>574</v>
      </c>
    </row>
    <row r="581" spans="1:21" hidden="1" outlineLevel="2">
      <c r="A581" s="162"/>
      <c r="B581" s="171"/>
      <c r="C581" s="236" t="s">
        <v>1135</v>
      </c>
      <c r="D581" s="340"/>
      <c r="E581" s="164"/>
      <c r="F581" s="165"/>
      <c r="G581" s="172" t="e">
        <f>CIP!#REF!</f>
        <v>#REF!</v>
      </c>
      <c r="H581" s="164"/>
      <c r="I581" s="164"/>
      <c r="J581" s="164"/>
      <c r="K581" s="165"/>
      <c r="L581" s="167" t="e">
        <f>SUM(G581:K581)</f>
        <v>#REF!</v>
      </c>
      <c r="M581" s="202"/>
      <c r="N581" s="244"/>
      <c r="O581" s="203"/>
      <c r="P581" s="251"/>
      <c r="Q581" s="201">
        <v>15000000</v>
      </c>
      <c r="R581" s="523">
        <f>Q581*1.73</f>
        <v>25950000</v>
      </c>
      <c r="S581" s="159" t="e">
        <f t="shared" si="27"/>
        <v>#REF!</v>
      </c>
      <c r="T581" s="391"/>
      <c r="U581" s="170"/>
    </row>
    <row r="582" spans="1:21" hidden="1" outlineLevel="2">
      <c r="A582" s="162"/>
      <c r="B582" s="171"/>
      <c r="C582" s="151" t="s">
        <v>548</v>
      </c>
      <c r="D582" s="339"/>
      <c r="E582" s="164"/>
      <c r="F582" s="165"/>
      <c r="G582" s="172"/>
      <c r="H582" s="164"/>
      <c r="I582" s="164"/>
      <c r="J582" s="164"/>
      <c r="K582" s="165"/>
      <c r="L582" s="167"/>
      <c r="M582" s="202"/>
      <c r="N582" s="244"/>
      <c r="O582" s="203"/>
      <c r="P582" s="251"/>
      <c r="Q582" s="201">
        <v>1000000</v>
      </c>
      <c r="R582" s="543">
        <f>Q582*1.73</f>
        <v>1730000</v>
      </c>
      <c r="S582" s="159">
        <f t="shared" si="27"/>
        <v>1730000</v>
      </c>
      <c r="T582" s="391"/>
      <c r="U582" s="170" t="s">
        <v>1303</v>
      </c>
    </row>
    <row r="583" spans="1:21" hidden="1" outlineLevel="1" collapsed="1">
      <c r="A583" s="162"/>
      <c r="B583" s="171"/>
      <c r="C583" s="151" t="s">
        <v>573</v>
      </c>
      <c r="D583" s="339"/>
      <c r="E583" s="164"/>
      <c r="F583" s="165"/>
      <c r="G583" s="249" t="e">
        <f>SUM(G571:G582)</f>
        <v>#REF!</v>
      </c>
      <c r="H583" s="244">
        <f>SUM(H555:H582)</f>
        <v>0</v>
      </c>
      <c r="I583" s="244">
        <f>SUM(I557:I582)</f>
        <v>0</v>
      </c>
      <c r="J583" s="244"/>
      <c r="K583" s="248"/>
      <c r="L583" s="159" t="e">
        <f>SUM(L556:L582)</f>
        <v>#REF!</v>
      </c>
      <c r="M583" s="156">
        <f>SUM(M556:M582)</f>
        <v>945000</v>
      </c>
      <c r="N583" s="244">
        <f>M583*1.23</f>
        <v>1162350</v>
      </c>
      <c r="O583" s="157"/>
      <c r="P583" s="251"/>
      <c r="Q583" s="201">
        <f>SUM(Q559:Q582)</f>
        <v>16000000</v>
      </c>
      <c r="R583" s="523">
        <f>Q583*1.73</f>
        <v>27680000</v>
      </c>
      <c r="S583" s="159" t="e">
        <f t="shared" si="27"/>
        <v>#REF!</v>
      </c>
      <c r="T583" s="391" t="s">
        <v>360</v>
      </c>
      <c r="U583" s="170"/>
    </row>
    <row r="584" spans="1:21" hidden="1" outlineLevel="2">
      <c r="A584" s="162"/>
      <c r="B584" s="151" t="s">
        <v>575</v>
      </c>
      <c r="C584" s="171"/>
      <c r="D584" s="345"/>
      <c r="E584" s="164"/>
      <c r="F584" s="165"/>
      <c r="G584" s="172"/>
      <c r="H584" s="164"/>
      <c r="I584" s="164"/>
      <c r="J584" s="164"/>
      <c r="K584" s="165"/>
      <c r="L584" s="155"/>
      <c r="M584" s="156"/>
      <c r="N584" s="250"/>
      <c r="O584" s="157"/>
      <c r="P584" s="251"/>
      <c r="Q584" s="201"/>
      <c r="R584" s="527"/>
      <c r="S584" s="159"/>
      <c r="T584" s="391"/>
      <c r="U584" s="170"/>
    </row>
    <row r="585" spans="1:21" hidden="1" outlineLevel="2">
      <c r="A585" s="162"/>
      <c r="B585" s="171"/>
      <c r="C585" s="151" t="s">
        <v>503</v>
      </c>
      <c r="D585" s="339"/>
      <c r="E585" s="164"/>
      <c r="F585" s="165"/>
      <c r="G585" s="172"/>
      <c r="H585" s="164"/>
      <c r="I585" s="164"/>
      <c r="J585" s="164"/>
      <c r="K585" s="165"/>
      <c r="L585" s="155"/>
      <c r="M585" s="156"/>
      <c r="N585" s="250"/>
      <c r="O585" s="157"/>
      <c r="P585" s="251"/>
      <c r="Q585" s="201"/>
      <c r="R585" s="527"/>
      <c r="S585" s="159"/>
      <c r="T585" s="391"/>
      <c r="U585" s="170"/>
    </row>
    <row r="586" spans="1:21" hidden="1" outlineLevel="2">
      <c r="A586" s="162"/>
      <c r="B586" s="171"/>
      <c r="C586" s="174" t="s">
        <v>523</v>
      </c>
      <c r="D586" s="340"/>
      <c r="E586" s="164"/>
      <c r="F586" s="165"/>
      <c r="G586" s="172"/>
      <c r="H586" s="164"/>
      <c r="I586" s="164"/>
      <c r="J586" s="164"/>
      <c r="K586" s="165"/>
      <c r="L586" s="155"/>
      <c r="M586" s="156"/>
      <c r="N586" s="250"/>
      <c r="O586" s="157"/>
      <c r="P586" s="251"/>
      <c r="Q586" s="201"/>
      <c r="R586" s="527"/>
      <c r="S586" s="159"/>
      <c r="T586" s="391"/>
      <c r="U586" s="170"/>
    </row>
    <row r="587" spans="1:21" hidden="1" outlineLevel="2">
      <c r="A587" s="162"/>
      <c r="B587" s="171"/>
      <c r="C587" s="174" t="s">
        <v>478</v>
      </c>
      <c r="D587" s="340"/>
      <c r="E587" s="164"/>
      <c r="F587" s="165"/>
      <c r="G587" s="172"/>
      <c r="H587" s="164"/>
      <c r="I587" s="164"/>
      <c r="J587" s="164"/>
      <c r="K587" s="165"/>
      <c r="L587" s="155"/>
      <c r="M587" s="158">
        <v>75000</v>
      </c>
      <c r="N587" s="244">
        <f>M587*1.23</f>
        <v>92250</v>
      </c>
      <c r="O587" s="157"/>
      <c r="P587" s="251"/>
      <c r="Q587" s="201"/>
      <c r="R587" s="527"/>
      <c r="S587" s="159">
        <f t="shared" ref="S587:S612" si="28">SUM(L587,N587,P587,R587)</f>
        <v>92250</v>
      </c>
      <c r="T587" s="391"/>
      <c r="U587" s="170"/>
    </row>
    <row r="588" spans="1:21" hidden="1" outlineLevel="2">
      <c r="A588" s="162"/>
      <c r="B588" s="171"/>
      <c r="C588" s="174" t="s">
        <v>479</v>
      </c>
      <c r="D588" s="340"/>
      <c r="E588" s="164"/>
      <c r="F588" s="165"/>
      <c r="G588" s="172"/>
      <c r="H588" s="164"/>
      <c r="I588" s="164"/>
      <c r="J588" s="164"/>
      <c r="K588" s="165"/>
      <c r="L588" s="213"/>
      <c r="M588" s="214"/>
      <c r="N588" s="250"/>
      <c r="O588" s="157"/>
      <c r="P588" s="251"/>
      <c r="Q588" s="201"/>
      <c r="R588" s="527"/>
      <c r="S588" s="159"/>
      <c r="T588" s="391"/>
      <c r="U588" s="170"/>
    </row>
    <row r="589" spans="1:21" hidden="1" outlineLevel="2">
      <c r="A589" s="162"/>
      <c r="B589" s="171"/>
      <c r="C589" s="174" t="s">
        <v>480</v>
      </c>
      <c r="D589" s="340"/>
      <c r="E589" s="164"/>
      <c r="F589" s="165"/>
      <c r="G589" s="172"/>
      <c r="H589" s="164"/>
      <c r="I589" s="164"/>
      <c r="J589" s="164"/>
      <c r="K589" s="165"/>
      <c r="L589" s="155"/>
      <c r="M589" s="156">
        <v>250000</v>
      </c>
      <c r="N589" s="244">
        <f>M589*1.23</f>
        <v>307500</v>
      </c>
      <c r="O589" s="157"/>
      <c r="P589" s="251"/>
      <c r="Q589" s="201"/>
      <c r="R589" s="527"/>
      <c r="S589" s="159">
        <f t="shared" si="28"/>
        <v>307500</v>
      </c>
      <c r="T589" s="391"/>
      <c r="U589" s="161" t="s">
        <v>576</v>
      </c>
    </row>
    <row r="590" spans="1:21" hidden="1" outlineLevel="2">
      <c r="A590" s="162"/>
      <c r="B590" s="171"/>
      <c r="C590" s="174" t="s">
        <v>524</v>
      </c>
      <c r="D590" s="340"/>
      <c r="E590" s="164"/>
      <c r="F590" s="165"/>
      <c r="G590" s="172" t="e">
        <f>CIP!#REF!</f>
        <v>#REF!</v>
      </c>
      <c r="H590" s="164"/>
      <c r="I590" s="164"/>
      <c r="J590" s="164"/>
      <c r="K590" s="165"/>
      <c r="L590" s="155">
        <v>100000</v>
      </c>
      <c r="M590" s="156"/>
      <c r="N590" s="250"/>
      <c r="O590" s="157"/>
      <c r="P590" s="251"/>
      <c r="Q590" s="201"/>
      <c r="R590" s="527"/>
      <c r="S590" s="159">
        <f t="shared" si="28"/>
        <v>100000</v>
      </c>
      <c r="T590" s="391"/>
      <c r="U590" s="161" t="s">
        <v>577</v>
      </c>
    </row>
    <row r="591" spans="1:21" hidden="1" outlineLevel="2">
      <c r="A591" s="162"/>
      <c r="B591" s="171"/>
      <c r="C591" s="151" t="s">
        <v>504</v>
      </c>
      <c r="D591" s="339"/>
      <c r="E591" s="164"/>
      <c r="F591" s="165"/>
      <c r="G591" s="172"/>
      <c r="H591" s="164"/>
      <c r="I591" s="164"/>
      <c r="J591" s="164"/>
      <c r="K591" s="165"/>
      <c r="L591" s="155"/>
      <c r="M591" s="156"/>
      <c r="N591" s="250"/>
      <c r="O591" s="157"/>
      <c r="P591" s="251"/>
      <c r="Q591" s="201"/>
      <c r="R591" s="527"/>
      <c r="S591" s="159"/>
      <c r="T591" s="391"/>
      <c r="U591" s="161"/>
    </row>
    <row r="592" spans="1:21" hidden="1" outlineLevel="2">
      <c r="A592" s="162"/>
      <c r="B592" s="171"/>
      <c r="C592" s="174" t="s">
        <v>483</v>
      </c>
      <c r="D592" s="340"/>
      <c r="E592" s="164"/>
      <c r="F592" s="165"/>
      <c r="G592" s="172"/>
      <c r="H592" s="164"/>
      <c r="I592" s="164"/>
      <c r="J592" s="164"/>
      <c r="K592" s="165"/>
      <c r="L592" s="155"/>
      <c r="M592" s="156"/>
      <c r="N592" s="250"/>
      <c r="O592" s="157"/>
      <c r="P592" s="251"/>
      <c r="Q592" s="201">
        <v>200000</v>
      </c>
      <c r="R592" s="527">
        <f>Q592*1.73</f>
        <v>346000</v>
      </c>
      <c r="S592" s="159">
        <f t="shared" si="28"/>
        <v>346000</v>
      </c>
      <c r="T592" s="391"/>
      <c r="U592" s="161"/>
    </row>
    <row r="593" spans="1:21" hidden="1" outlineLevel="2">
      <c r="A593" s="162"/>
      <c r="B593" s="171"/>
      <c r="C593" s="174" t="s">
        <v>484</v>
      </c>
      <c r="D593" s="340"/>
      <c r="E593" s="164"/>
      <c r="F593" s="165"/>
      <c r="G593" s="172"/>
      <c r="H593" s="164"/>
      <c r="I593" s="164"/>
      <c r="J593" s="164"/>
      <c r="K593" s="165"/>
      <c r="L593" s="155"/>
      <c r="M593" s="156">
        <v>75000</v>
      </c>
      <c r="N593" s="244">
        <f>M593*1.23</f>
        <v>92250</v>
      </c>
      <c r="O593" s="157"/>
      <c r="P593" s="251"/>
      <c r="Q593" s="201"/>
      <c r="R593" s="527"/>
      <c r="S593" s="159">
        <f t="shared" si="28"/>
        <v>92250</v>
      </c>
      <c r="T593" s="391"/>
      <c r="U593" s="161"/>
    </row>
    <row r="594" spans="1:21" hidden="1" outlineLevel="2">
      <c r="A594" s="162"/>
      <c r="B594" s="171"/>
      <c r="C594" s="174" t="s">
        <v>479</v>
      </c>
      <c r="D594" s="340"/>
      <c r="E594" s="164"/>
      <c r="F594" s="165"/>
      <c r="G594" s="172"/>
      <c r="H594" s="164"/>
      <c r="I594" s="164"/>
      <c r="J594" s="164"/>
      <c r="K594" s="165"/>
      <c r="L594" s="155"/>
      <c r="M594" s="156"/>
      <c r="N594" s="250"/>
      <c r="O594" s="157"/>
      <c r="P594" s="251"/>
      <c r="Q594" s="201"/>
      <c r="R594" s="527"/>
      <c r="S594" s="159"/>
      <c r="T594" s="391"/>
      <c r="U594" s="161"/>
    </row>
    <row r="595" spans="1:21" hidden="1" outlineLevel="2">
      <c r="A595" s="162"/>
      <c r="B595" s="171"/>
      <c r="C595" s="174" t="s">
        <v>485</v>
      </c>
      <c r="D595" s="340"/>
      <c r="E595" s="164"/>
      <c r="F595" s="165"/>
      <c r="G595" s="172"/>
      <c r="H595" s="164"/>
      <c r="I595" s="164"/>
      <c r="J595" s="164"/>
      <c r="K595" s="165"/>
      <c r="L595" s="155"/>
      <c r="M595" s="156"/>
      <c r="N595" s="250"/>
      <c r="O595" s="157"/>
      <c r="P595" s="251"/>
      <c r="Q595" s="201"/>
      <c r="R595" s="527"/>
      <c r="S595" s="159"/>
      <c r="T595" s="391"/>
      <c r="U595" s="161" t="s">
        <v>535</v>
      </c>
    </row>
    <row r="596" spans="1:21" hidden="1" outlineLevel="2">
      <c r="A596" s="162"/>
      <c r="B596" s="171"/>
      <c r="C596" s="151" t="s">
        <v>505</v>
      </c>
      <c r="D596" s="339"/>
      <c r="E596" s="164"/>
      <c r="F596" s="165"/>
      <c r="G596" s="172"/>
      <c r="H596" s="164"/>
      <c r="I596" s="164"/>
      <c r="J596" s="164"/>
      <c r="K596" s="165"/>
      <c r="L596" s="155"/>
      <c r="M596" s="156"/>
      <c r="N596" s="250"/>
      <c r="O596" s="157"/>
      <c r="P596" s="251"/>
      <c r="Q596" s="201"/>
      <c r="R596" s="527"/>
      <c r="S596" s="159"/>
      <c r="T596" s="391"/>
      <c r="U596" s="170"/>
    </row>
    <row r="597" spans="1:21" hidden="1" outlineLevel="2">
      <c r="A597" s="162"/>
      <c r="B597" s="171"/>
      <c r="C597" s="174" t="s">
        <v>487</v>
      </c>
      <c r="D597" s="340"/>
      <c r="E597" s="164"/>
      <c r="F597" s="165"/>
      <c r="G597" s="172"/>
      <c r="H597" s="164"/>
      <c r="I597" s="164"/>
      <c r="J597" s="164"/>
      <c r="K597" s="165"/>
      <c r="L597" s="155"/>
      <c r="M597" s="156"/>
      <c r="N597" s="250"/>
      <c r="O597" s="157"/>
      <c r="P597" s="251"/>
      <c r="Q597" s="201"/>
      <c r="R597" s="527"/>
      <c r="S597" s="159"/>
      <c r="T597" s="391"/>
      <c r="U597" s="170"/>
    </row>
    <row r="598" spans="1:21" hidden="1" outlineLevel="2">
      <c r="A598" s="162"/>
      <c r="B598" s="171"/>
      <c r="C598" s="174" t="s">
        <v>479</v>
      </c>
      <c r="D598" s="340"/>
      <c r="E598" s="164"/>
      <c r="F598" s="165"/>
      <c r="G598" s="172"/>
      <c r="H598" s="164"/>
      <c r="I598" s="164"/>
      <c r="J598" s="164"/>
      <c r="K598" s="165"/>
      <c r="L598" s="155"/>
      <c r="M598" s="156"/>
      <c r="N598" s="250"/>
      <c r="O598" s="157"/>
      <c r="P598" s="251"/>
      <c r="Q598" s="201"/>
      <c r="R598" s="527"/>
      <c r="S598" s="159"/>
      <c r="T598" s="391"/>
      <c r="U598" s="170"/>
    </row>
    <row r="599" spans="1:21" hidden="1" outlineLevel="2">
      <c r="A599" s="162"/>
      <c r="B599" s="171"/>
      <c r="C599" s="174" t="s">
        <v>488</v>
      </c>
      <c r="D599" s="340"/>
      <c r="E599" s="164"/>
      <c r="F599" s="165"/>
      <c r="G599" s="172"/>
      <c r="H599" s="164"/>
      <c r="I599" s="164"/>
      <c r="J599" s="164"/>
      <c r="K599" s="165"/>
      <c r="L599" s="155"/>
      <c r="M599" s="156"/>
      <c r="N599" s="250"/>
      <c r="O599" s="157"/>
      <c r="P599" s="251"/>
      <c r="Q599" s="201"/>
      <c r="R599" s="527"/>
      <c r="S599" s="159"/>
      <c r="T599" s="391"/>
      <c r="U599" s="170"/>
    </row>
    <row r="600" spans="1:21" hidden="1" outlineLevel="2">
      <c r="A600" s="162"/>
      <c r="B600" s="171"/>
      <c r="C600" s="174" t="s">
        <v>489</v>
      </c>
      <c r="D600" s="340"/>
      <c r="E600" s="164"/>
      <c r="F600" s="165"/>
      <c r="G600" s="172"/>
      <c r="H600" s="164"/>
      <c r="I600" s="164"/>
      <c r="J600" s="164"/>
      <c r="K600" s="165"/>
      <c r="L600" s="155"/>
      <c r="M600" s="156"/>
      <c r="N600" s="250"/>
      <c r="O600" s="157"/>
      <c r="P600" s="251"/>
      <c r="Q600" s="201"/>
      <c r="R600" s="527"/>
      <c r="S600" s="159"/>
      <c r="T600" s="391"/>
      <c r="U600" s="170"/>
    </row>
    <row r="601" spans="1:21" hidden="1" outlineLevel="2">
      <c r="A601" s="162"/>
      <c r="B601" s="171"/>
      <c r="C601" s="151" t="s">
        <v>506</v>
      </c>
      <c r="D601" s="339"/>
      <c r="E601" s="164"/>
      <c r="F601" s="165"/>
      <c r="G601" s="172"/>
      <c r="H601" s="164"/>
      <c r="I601" s="164"/>
      <c r="J601" s="164"/>
      <c r="K601" s="165"/>
      <c r="L601" s="155"/>
      <c r="M601" s="156"/>
      <c r="N601" s="250"/>
      <c r="O601" s="157"/>
      <c r="P601" s="251"/>
      <c r="Q601" s="201"/>
      <c r="R601" s="527"/>
      <c r="S601" s="159"/>
      <c r="T601" s="391"/>
      <c r="U601" s="170"/>
    </row>
    <row r="602" spans="1:21" hidden="1" outlineLevel="2">
      <c r="A602" s="162"/>
      <c r="B602" s="171"/>
      <c r="C602" s="174" t="s">
        <v>491</v>
      </c>
      <c r="D602" s="340"/>
      <c r="E602" s="164"/>
      <c r="F602" s="165"/>
      <c r="G602" s="172"/>
      <c r="H602" s="164"/>
      <c r="I602" s="164"/>
      <c r="J602" s="164"/>
      <c r="K602" s="165"/>
      <c r="L602" s="155"/>
      <c r="M602" s="156"/>
      <c r="N602" s="250"/>
      <c r="O602" s="157"/>
      <c r="P602" s="251"/>
      <c r="Q602" s="201"/>
      <c r="R602" s="527"/>
      <c r="S602" s="159"/>
      <c r="T602" s="391"/>
      <c r="U602" s="170"/>
    </row>
    <row r="603" spans="1:21" hidden="1" outlineLevel="2">
      <c r="A603" s="162"/>
      <c r="B603" s="171"/>
      <c r="C603" s="174" t="s">
        <v>492</v>
      </c>
      <c r="D603" s="340"/>
      <c r="E603" s="164"/>
      <c r="F603" s="165"/>
      <c r="G603" s="172"/>
      <c r="H603" s="164"/>
      <c r="I603" s="164"/>
      <c r="J603" s="164"/>
      <c r="K603" s="165"/>
      <c r="L603" s="155"/>
      <c r="M603" s="311">
        <v>500000</v>
      </c>
      <c r="N603" s="244">
        <f>M603*1.23</f>
        <v>615000</v>
      </c>
      <c r="O603" s="157"/>
      <c r="P603" s="251"/>
      <c r="Q603" s="201"/>
      <c r="R603" s="527"/>
      <c r="S603" s="159">
        <f t="shared" si="28"/>
        <v>615000</v>
      </c>
      <c r="T603" s="391"/>
      <c r="U603" s="170"/>
    </row>
    <row r="604" spans="1:21" hidden="1" outlineLevel="2">
      <c r="A604" s="162"/>
      <c r="B604" s="171"/>
      <c r="C604" s="174" t="s">
        <v>493</v>
      </c>
      <c r="D604" s="340"/>
      <c r="E604" s="164"/>
      <c r="F604" s="165"/>
      <c r="G604" s="172"/>
      <c r="H604" s="164"/>
      <c r="I604" s="164"/>
      <c r="J604" s="164"/>
      <c r="K604" s="165"/>
      <c r="L604" s="155"/>
      <c r="M604" s="156">
        <v>250000</v>
      </c>
      <c r="N604" s="244">
        <f>M604*1.23</f>
        <v>307500</v>
      </c>
      <c r="O604" s="157"/>
      <c r="P604" s="251"/>
      <c r="Q604" s="201"/>
      <c r="R604" s="527"/>
      <c r="S604" s="159">
        <f t="shared" si="28"/>
        <v>307500</v>
      </c>
      <c r="T604" s="391"/>
      <c r="U604" s="170"/>
    </row>
    <row r="605" spans="1:21" hidden="1" outlineLevel="2">
      <c r="A605" s="162"/>
      <c r="B605" s="171"/>
      <c r="C605" s="174" t="s">
        <v>494</v>
      </c>
      <c r="D605" s="340"/>
      <c r="E605" s="164"/>
      <c r="F605" s="165"/>
      <c r="G605" s="172"/>
      <c r="H605" s="164"/>
      <c r="I605" s="164"/>
      <c r="J605" s="164"/>
      <c r="K605" s="165"/>
      <c r="L605" s="155"/>
      <c r="M605" s="156"/>
      <c r="N605" s="250"/>
      <c r="O605" s="157"/>
      <c r="P605" s="251"/>
      <c r="Q605" s="201"/>
      <c r="R605" s="527"/>
      <c r="S605" s="159"/>
      <c r="T605" s="391"/>
      <c r="U605" s="170"/>
    </row>
    <row r="606" spans="1:21" hidden="1" outlineLevel="2">
      <c r="A606" s="162"/>
      <c r="B606" s="171"/>
      <c r="C606" s="151" t="s">
        <v>507</v>
      </c>
      <c r="D606" s="339"/>
      <c r="E606" s="164"/>
      <c r="F606" s="165"/>
      <c r="G606" s="172"/>
      <c r="H606" s="164"/>
      <c r="I606" s="164"/>
      <c r="J606" s="164"/>
      <c r="K606" s="165"/>
      <c r="L606" s="155"/>
      <c r="M606" s="156"/>
      <c r="N606" s="250"/>
      <c r="O606" s="157"/>
      <c r="P606" s="251"/>
      <c r="Q606" s="201"/>
      <c r="R606" s="527"/>
      <c r="S606" s="159"/>
      <c r="T606" s="391"/>
      <c r="U606" s="170"/>
    </row>
    <row r="607" spans="1:21" hidden="1" outlineLevel="2">
      <c r="A607" s="162"/>
      <c r="B607" s="171"/>
      <c r="C607" s="174" t="s">
        <v>496</v>
      </c>
      <c r="D607" s="340"/>
      <c r="E607" s="164"/>
      <c r="F607" s="165"/>
      <c r="G607" s="172"/>
      <c r="H607" s="164"/>
      <c r="I607" s="164"/>
      <c r="J607" s="164"/>
      <c r="K607" s="165"/>
      <c r="L607" s="155"/>
      <c r="M607" s="156"/>
      <c r="N607" s="250"/>
      <c r="O607" s="157"/>
      <c r="P607" s="251"/>
      <c r="Q607" s="201"/>
      <c r="R607" s="527"/>
      <c r="S607" s="159"/>
      <c r="T607" s="391"/>
      <c r="U607" s="170"/>
    </row>
    <row r="608" spans="1:21" hidden="1" outlineLevel="2">
      <c r="A608" s="162"/>
      <c r="B608" s="171"/>
      <c r="C608" s="174" t="s">
        <v>497</v>
      </c>
      <c r="D608" s="340"/>
      <c r="E608" s="164"/>
      <c r="F608" s="165"/>
      <c r="G608" s="172"/>
      <c r="H608" s="164"/>
      <c r="I608" s="164"/>
      <c r="J608" s="164"/>
      <c r="K608" s="165"/>
      <c r="L608" s="155"/>
      <c r="M608" s="156"/>
      <c r="N608" s="250"/>
      <c r="O608" s="157"/>
      <c r="P608" s="251"/>
      <c r="Q608" s="201"/>
      <c r="R608" s="527"/>
      <c r="S608" s="159"/>
      <c r="T608" s="391"/>
      <c r="U608" s="170"/>
    </row>
    <row r="609" spans="1:21" hidden="1" outlineLevel="2">
      <c r="A609" s="162"/>
      <c r="B609" s="171"/>
      <c r="C609" s="174" t="s">
        <v>499</v>
      </c>
      <c r="D609" s="340"/>
      <c r="E609" s="164"/>
      <c r="F609" s="165"/>
      <c r="G609" s="172"/>
      <c r="H609" s="164"/>
      <c r="I609" s="164"/>
      <c r="J609" s="164"/>
      <c r="K609" s="165"/>
      <c r="L609" s="155"/>
      <c r="M609" s="156"/>
      <c r="N609" s="250"/>
      <c r="O609" s="157"/>
      <c r="P609" s="251"/>
      <c r="Q609" s="201"/>
      <c r="R609" s="527"/>
      <c r="S609" s="159"/>
      <c r="T609" s="391"/>
      <c r="U609" s="170"/>
    </row>
    <row r="610" spans="1:21" hidden="1" outlineLevel="2">
      <c r="A610" s="162"/>
      <c r="B610" s="171"/>
      <c r="C610" s="174" t="s">
        <v>526</v>
      </c>
      <c r="D610" s="340"/>
      <c r="E610" s="164"/>
      <c r="F610" s="165"/>
      <c r="G610" s="172"/>
      <c r="H610" s="164"/>
      <c r="I610" s="164"/>
      <c r="J610" s="164"/>
      <c r="K610" s="165"/>
      <c r="L610" s="155"/>
      <c r="M610" s="156">
        <v>100000</v>
      </c>
      <c r="N610" s="244">
        <f>M610*1.23</f>
        <v>123000</v>
      </c>
      <c r="O610" s="157"/>
      <c r="P610" s="251"/>
      <c r="Q610" s="201"/>
      <c r="R610" s="527"/>
      <c r="S610" s="159">
        <f t="shared" si="28"/>
        <v>123000</v>
      </c>
      <c r="T610" s="391"/>
      <c r="U610" s="170"/>
    </row>
    <row r="611" spans="1:21" hidden="1" outlineLevel="2">
      <c r="A611" s="162"/>
      <c r="B611" s="171"/>
      <c r="C611" s="151" t="s">
        <v>569</v>
      </c>
      <c r="D611" s="339"/>
      <c r="E611" s="164"/>
      <c r="F611" s="165"/>
      <c r="G611" s="172"/>
      <c r="H611" s="164"/>
      <c r="I611" s="164"/>
      <c r="J611" s="164"/>
      <c r="K611" s="165"/>
      <c r="L611" s="155"/>
      <c r="M611" s="156"/>
      <c r="N611" s="250"/>
      <c r="O611" s="157"/>
      <c r="P611" s="251"/>
      <c r="Q611" s="201"/>
      <c r="R611" s="527"/>
      <c r="S611" s="159"/>
      <c r="T611" s="391"/>
      <c r="U611" s="170"/>
    </row>
    <row r="612" spans="1:21" s="135" customFormat="1" hidden="1" outlineLevel="1" collapsed="1">
      <c r="A612" s="229"/>
      <c r="B612" s="151"/>
      <c r="C612" s="151" t="s">
        <v>575</v>
      </c>
      <c r="D612" s="339"/>
      <c r="E612" s="244"/>
      <c r="F612" s="248"/>
      <c r="G612" s="249" t="e">
        <f>SUM(G586:G611)</f>
        <v>#REF!</v>
      </c>
      <c r="H612" s="244"/>
      <c r="I612" s="244"/>
      <c r="J612" s="244"/>
      <c r="K612" s="248"/>
      <c r="L612" s="159">
        <f>SUM(L585:L611)</f>
        <v>100000</v>
      </c>
      <c r="M612" s="156">
        <f>SUM(M585:M611)</f>
        <v>1250000</v>
      </c>
      <c r="N612" s="244">
        <f>M612*1.23</f>
        <v>1537500</v>
      </c>
      <c r="O612" s="157"/>
      <c r="P612" s="251"/>
      <c r="Q612" s="201">
        <f>SUM(Q585:Q611)</f>
        <v>200000</v>
      </c>
      <c r="R612" s="527">
        <f>Q612*1.73</f>
        <v>346000</v>
      </c>
      <c r="S612" s="159">
        <f t="shared" si="28"/>
        <v>1983500</v>
      </c>
      <c r="T612" s="391" t="s">
        <v>360</v>
      </c>
      <c r="U612" s="542"/>
    </row>
    <row r="613" spans="1:21" hidden="1" outlineLevel="2">
      <c r="A613" s="162"/>
      <c r="B613" s="151" t="s">
        <v>578</v>
      </c>
      <c r="C613" s="171"/>
      <c r="D613" s="345"/>
      <c r="E613" s="164"/>
      <c r="F613" s="165"/>
      <c r="G613" s="172"/>
      <c r="H613" s="164"/>
      <c r="I613" s="164"/>
      <c r="J613" s="164"/>
      <c r="K613" s="165"/>
      <c r="L613" s="176"/>
      <c r="M613" s="156"/>
      <c r="N613" s="250"/>
      <c r="O613" s="157"/>
      <c r="P613" s="251"/>
      <c r="Q613" s="201"/>
      <c r="R613" s="527"/>
      <c r="S613" s="159"/>
      <c r="T613" s="391"/>
      <c r="U613" s="170"/>
    </row>
    <row r="614" spans="1:21" hidden="1" outlineLevel="2">
      <c r="A614" s="162"/>
      <c r="B614" s="171"/>
      <c r="C614" s="151" t="s">
        <v>503</v>
      </c>
      <c r="D614" s="339"/>
      <c r="E614" s="164"/>
      <c r="F614" s="165"/>
      <c r="G614" s="172"/>
      <c r="H614" s="164"/>
      <c r="I614" s="164"/>
      <c r="J614" s="164"/>
      <c r="K614" s="165"/>
      <c r="L614" s="176"/>
      <c r="M614" s="156"/>
      <c r="N614" s="250"/>
      <c r="O614" s="203"/>
      <c r="P614" s="251"/>
      <c r="Q614" s="201"/>
      <c r="R614" s="527"/>
      <c r="S614" s="226"/>
      <c r="T614" s="391"/>
      <c r="U614" s="170"/>
    </row>
    <row r="615" spans="1:21" hidden="1" outlineLevel="2">
      <c r="A615" s="162"/>
      <c r="B615" s="171"/>
      <c r="C615" s="174" t="s">
        <v>579</v>
      </c>
      <c r="D615" s="340"/>
      <c r="E615" s="164"/>
      <c r="F615" s="165"/>
      <c r="G615" s="172"/>
      <c r="H615" s="164"/>
      <c r="I615" s="164"/>
      <c r="J615" s="164"/>
      <c r="K615" s="165"/>
      <c r="L615" s="176"/>
      <c r="M615" s="156"/>
      <c r="N615" s="250"/>
      <c r="O615" s="203"/>
      <c r="P615" s="251"/>
      <c r="Q615" s="201">
        <v>750000</v>
      </c>
      <c r="R615" s="527">
        <f>Q615*1.73</f>
        <v>1297500</v>
      </c>
      <c r="S615" s="159">
        <f t="shared" ref="S615:S618" si="29">SUM(L615,N615,P615,R615)</f>
        <v>1297500</v>
      </c>
      <c r="T615" s="391"/>
      <c r="U615" s="170" t="s">
        <v>580</v>
      </c>
    </row>
    <row r="616" spans="1:21" hidden="1" outlineLevel="2">
      <c r="A616" s="162"/>
      <c r="B616" s="171"/>
      <c r="C616" s="174" t="s">
        <v>478</v>
      </c>
      <c r="D616" s="340"/>
      <c r="E616" s="164"/>
      <c r="F616" s="165"/>
      <c r="G616" s="172"/>
      <c r="H616" s="164"/>
      <c r="I616" s="164"/>
      <c r="J616" s="164"/>
      <c r="K616" s="165"/>
      <c r="L616" s="176"/>
      <c r="M616" s="158">
        <v>75000</v>
      </c>
      <c r="N616" s="244">
        <f>M616*1.23</f>
        <v>92250</v>
      </c>
      <c r="O616" s="203"/>
      <c r="P616" s="251"/>
      <c r="Q616" s="201"/>
      <c r="R616" s="527"/>
      <c r="S616" s="159">
        <f t="shared" si="29"/>
        <v>92250</v>
      </c>
      <c r="T616" s="391"/>
      <c r="U616" s="170"/>
    </row>
    <row r="617" spans="1:21" hidden="1" outlineLevel="2">
      <c r="A617" s="162"/>
      <c r="B617" s="171"/>
      <c r="C617" s="174" t="s">
        <v>479</v>
      </c>
      <c r="D617" s="340"/>
      <c r="E617" s="164"/>
      <c r="F617" s="165"/>
      <c r="G617" s="172"/>
      <c r="H617" s="164"/>
      <c r="I617" s="164"/>
      <c r="J617" s="164"/>
      <c r="K617" s="165"/>
      <c r="L617" s="213"/>
      <c r="M617" s="158"/>
      <c r="N617" s="250"/>
      <c r="O617" s="203"/>
      <c r="P617" s="251"/>
      <c r="Q617" s="201"/>
      <c r="R617" s="527"/>
      <c r="S617" s="226"/>
      <c r="T617" s="391"/>
      <c r="U617" s="170"/>
    </row>
    <row r="618" spans="1:21" hidden="1" outlineLevel="2">
      <c r="A618" s="162"/>
      <c r="B618" s="171"/>
      <c r="C618" s="174" t="s">
        <v>480</v>
      </c>
      <c r="D618" s="340"/>
      <c r="E618" s="164"/>
      <c r="F618" s="165"/>
      <c r="G618" s="172"/>
      <c r="H618" s="164"/>
      <c r="I618" s="164"/>
      <c r="J618" s="164"/>
      <c r="K618" s="165"/>
      <c r="L618" s="176"/>
      <c r="M618" s="158">
        <v>300000</v>
      </c>
      <c r="N618" s="244">
        <f>M618*1.23</f>
        <v>369000</v>
      </c>
      <c r="O618" s="203"/>
      <c r="P618" s="251"/>
      <c r="Q618" s="201"/>
      <c r="R618" s="527"/>
      <c r="S618" s="159">
        <f t="shared" si="29"/>
        <v>369000</v>
      </c>
      <c r="T618" s="391"/>
      <c r="U618" s="161" t="s">
        <v>581</v>
      </c>
    </row>
    <row r="619" spans="1:21" hidden="1" outlineLevel="2">
      <c r="A619" s="162"/>
      <c r="B619" s="171"/>
      <c r="C619" s="174" t="s">
        <v>524</v>
      </c>
      <c r="D619" s="340"/>
      <c r="E619" s="164"/>
      <c r="F619" s="165"/>
      <c r="G619" s="172"/>
      <c r="H619" s="164"/>
      <c r="I619" s="164"/>
      <c r="J619" s="164"/>
      <c r="K619" s="165"/>
      <c r="L619" s="176"/>
      <c r="M619" s="156"/>
      <c r="N619" s="250"/>
      <c r="O619" s="157"/>
      <c r="P619" s="251"/>
      <c r="Q619" s="201"/>
      <c r="R619" s="527"/>
      <c r="S619" s="159"/>
      <c r="T619" s="391"/>
      <c r="U619" s="161" t="s">
        <v>1144</v>
      </c>
    </row>
    <row r="620" spans="1:21" hidden="1" outlineLevel="2">
      <c r="A620" s="162"/>
      <c r="B620" s="171"/>
      <c r="C620" s="151" t="s">
        <v>504</v>
      </c>
      <c r="D620" s="339"/>
      <c r="E620" s="164"/>
      <c r="F620" s="165"/>
      <c r="G620" s="172"/>
      <c r="H620" s="164"/>
      <c r="I620" s="164"/>
      <c r="J620" s="164"/>
      <c r="K620" s="165"/>
      <c r="L620" s="176"/>
      <c r="M620" s="156"/>
      <c r="N620" s="250"/>
      <c r="O620" s="157"/>
      <c r="P620" s="251"/>
      <c r="Q620" s="201"/>
      <c r="R620" s="527"/>
      <c r="S620" s="159"/>
      <c r="T620" s="391"/>
      <c r="U620" s="161"/>
    </row>
    <row r="621" spans="1:21" hidden="1" outlineLevel="2">
      <c r="A621" s="162"/>
      <c r="B621" s="171"/>
      <c r="C621" s="174" t="s">
        <v>483</v>
      </c>
      <c r="D621" s="340"/>
      <c r="E621" s="164"/>
      <c r="F621" s="165"/>
      <c r="G621" s="172"/>
      <c r="H621" s="164"/>
      <c r="I621" s="164"/>
      <c r="J621" s="164"/>
      <c r="K621" s="165"/>
      <c r="L621" s="176"/>
      <c r="M621" s="156"/>
      <c r="N621" s="250"/>
      <c r="O621" s="157"/>
      <c r="P621" s="251"/>
      <c r="Q621" s="201"/>
      <c r="R621" s="527"/>
      <c r="S621" s="159"/>
      <c r="T621" s="391"/>
      <c r="U621" s="161"/>
    </row>
    <row r="622" spans="1:21" hidden="1" outlineLevel="2">
      <c r="A622" s="162"/>
      <c r="B622" s="171"/>
      <c r="C622" s="174" t="s">
        <v>484</v>
      </c>
      <c r="D622" s="340"/>
      <c r="E622" s="164"/>
      <c r="F622" s="165"/>
      <c r="G622" s="172"/>
      <c r="H622" s="164"/>
      <c r="I622" s="164"/>
      <c r="J622" s="164"/>
      <c r="K622" s="165"/>
      <c r="L622" s="176"/>
      <c r="M622" s="156"/>
      <c r="N622" s="250"/>
      <c r="O622" s="157"/>
      <c r="P622" s="251"/>
      <c r="Q622" s="201"/>
      <c r="R622" s="527"/>
      <c r="S622" s="159"/>
      <c r="T622" s="391"/>
      <c r="U622" s="161"/>
    </row>
    <row r="623" spans="1:21" hidden="1" outlineLevel="2">
      <c r="A623" s="162"/>
      <c r="B623" s="171"/>
      <c r="C623" s="174" t="s">
        <v>479</v>
      </c>
      <c r="D623" s="340"/>
      <c r="E623" s="164"/>
      <c r="F623" s="165"/>
      <c r="G623" s="172"/>
      <c r="H623" s="164"/>
      <c r="I623" s="164"/>
      <c r="J623" s="164"/>
      <c r="K623" s="165"/>
      <c r="L623" s="176"/>
      <c r="M623" s="156"/>
      <c r="N623" s="250"/>
      <c r="O623" s="157"/>
      <c r="P623" s="251"/>
      <c r="Q623" s="201"/>
      <c r="R623" s="527"/>
      <c r="S623" s="159"/>
      <c r="T623" s="391"/>
      <c r="U623" s="161"/>
    </row>
    <row r="624" spans="1:21" hidden="1" outlineLevel="2">
      <c r="A624" s="162"/>
      <c r="B624" s="171"/>
      <c r="C624" s="174" t="s">
        <v>485</v>
      </c>
      <c r="D624" s="340"/>
      <c r="E624" s="164"/>
      <c r="F624" s="165"/>
      <c r="G624" s="172"/>
      <c r="H624" s="164"/>
      <c r="I624" s="164"/>
      <c r="J624" s="164"/>
      <c r="K624" s="165"/>
      <c r="L624" s="176"/>
      <c r="M624" s="156"/>
      <c r="N624" s="250"/>
      <c r="O624" s="157"/>
      <c r="P624" s="251"/>
      <c r="Q624" s="201"/>
      <c r="R624" s="527"/>
      <c r="S624" s="159"/>
      <c r="T624" s="391"/>
      <c r="U624" s="161" t="s">
        <v>535</v>
      </c>
    </row>
    <row r="625" spans="1:21" hidden="1" outlineLevel="2">
      <c r="A625" s="162"/>
      <c r="B625" s="171"/>
      <c r="C625" s="151" t="s">
        <v>505</v>
      </c>
      <c r="D625" s="339"/>
      <c r="E625" s="164"/>
      <c r="F625" s="165"/>
      <c r="G625" s="172"/>
      <c r="H625" s="164"/>
      <c r="I625" s="164"/>
      <c r="J625" s="164"/>
      <c r="K625" s="165"/>
      <c r="L625" s="176"/>
      <c r="M625" s="156"/>
      <c r="N625" s="250"/>
      <c r="O625" s="157"/>
      <c r="P625" s="251"/>
      <c r="Q625" s="201"/>
      <c r="R625" s="527"/>
      <c r="S625" s="159"/>
      <c r="T625" s="391"/>
      <c r="U625" s="170"/>
    </row>
    <row r="626" spans="1:21" hidden="1" outlineLevel="2">
      <c r="A626" s="162"/>
      <c r="B626" s="171"/>
      <c r="C626" s="174" t="s">
        <v>487</v>
      </c>
      <c r="D626" s="340"/>
      <c r="E626" s="164"/>
      <c r="F626" s="165"/>
      <c r="G626" s="172"/>
      <c r="H626" s="164"/>
      <c r="I626" s="164"/>
      <c r="J626" s="164"/>
      <c r="K626" s="165"/>
      <c r="L626" s="176"/>
      <c r="M626" s="156"/>
      <c r="N626" s="250"/>
      <c r="O626" s="157"/>
      <c r="P626" s="251"/>
      <c r="Q626" s="201"/>
      <c r="R626" s="527"/>
      <c r="S626" s="159"/>
      <c r="T626" s="391"/>
      <c r="U626" s="170"/>
    </row>
    <row r="627" spans="1:21" hidden="1" outlineLevel="2">
      <c r="A627" s="162"/>
      <c r="B627" s="171"/>
      <c r="C627" s="174" t="s">
        <v>479</v>
      </c>
      <c r="D627" s="340"/>
      <c r="E627" s="164"/>
      <c r="F627" s="165"/>
      <c r="G627" s="172"/>
      <c r="H627" s="164"/>
      <c r="I627" s="164"/>
      <c r="J627" s="164"/>
      <c r="K627" s="165"/>
      <c r="L627" s="176"/>
      <c r="M627" s="156"/>
      <c r="N627" s="250"/>
      <c r="O627" s="157"/>
      <c r="P627" s="251"/>
      <c r="Q627" s="201"/>
      <c r="R627" s="527"/>
      <c r="S627" s="159"/>
      <c r="T627" s="391"/>
      <c r="U627" s="170"/>
    </row>
    <row r="628" spans="1:21" hidden="1" outlineLevel="2">
      <c r="A628" s="162"/>
      <c r="B628" s="171"/>
      <c r="C628" s="174" t="s">
        <v>488</v>
      </c>
      <c r="D628" s="340"/>
      <c r="E628" s="164"/>
      <c r="F628" s="165"/>
      <c r="G628" s="172"/>
      <c r="H628" s="164"/>
      <c r="I628" s="164"/>
      <c r="J628" s="164"/>
      <c r="K628" s="165"/>
      <c r="L628" s="176"/>
      <c r="M628" s="156"/>
      <c r="N628" s="250"/>
      <c r="O628" s="157"/>
      <c r="P628" s="251"/>
      <c r="Q628" s="201"/>
      <c r="R628" s="527"/>
      <c r="S628" s="159"/>
      <c r="T628" s="391"/>
      <c r="U628" s="170"/>
    </row>
    <row r="629" spans="1:21" hidden="1" outlineLevel="2">
      <c r="A629" s="162"/>
      <c r="B629" s="171"/>
      <c r="C629" s="174" t="s">
        <v>489</v>
      </c>
      <c r="D629" s="340"/>
      <c r="E629" s="164"/>
      <c r="F629" s="165"/>
      <c r="G629" s="172"/>
      <c r="H629" s="164"/>
      <c r="I629" s="164"/>
      <c r="J629" s="164"/>
      <c r="K629" s="165"/>
      <c r="L629" s="176"/>
      <c r="M629" s="156"/>
      <c r="N629" s="250"/>
      <c r="O629" s="157"/>
      <c r="P629" s="251"/>
      <c r="Q629" s="201"/>
      <c r="R629" s="527"/>
      <c r="S629" s="159"/>
      <c r="T629" s="391"/>
      <c r="U629" s="170"/>
    </row>
    <row r="630" spans="1:21" hidden="1" outlineLevel="2">
      <c r="A630" s="162"/>
      <c r="B630" s="171"/>
      <c r="C630" s="151" t="s">
        <v>506</v>
      </c>
      <c r="D630" s="339"/>
      <c r="E630" s="164"/>
      <c r="F630" s="165"/>
      <c r="G630" s="172"/>
      <c r="H630" s="164"/>
      <c r="I630" s="164"/>
      <c r="J630" s="164"/>
      <c r="K630" s="165"/>
      <c r="L630" s="176"/>
      <c r="M630" s="156"/>
      <c r="N630" s="250"/>
      <c r="O630" s="157"/>
      <c r="P630" s="251"/>
      <c r="Q630" s="201"/>
      <c r="R630" s="527"/>
      <c r="S630" s="159"/>
      <c r="T630" s="391"/>
      <c r="U630" s="170"/>
    </row>
    <row r="631" spans="1:21" hidden="1" outlineLevel="2">
      <c r="A631" s="162"/>
      <c r="B631" s="171"/>
      <c r="C631" s="174" t="s">
        <v>491</v>
      </c>
      <c r="D631" s="340"/>
      <c r="E631" s="164"/>
      <c r="F631" s="165"/>
      <c r="G631" s="172"/>
      <c r="H631" s="164"/>
      <c r="I631" s="164"/>
      <c r="J631" s="164"/>
      <c r="K631" s="165"/>
      <c r="L631" s="176"/>
      <c r="M631" s="156"/>
      <c r="N631" s="250"/>
      <c r="O631" s="157"/>
      <c r="P631" s="251"/>
      <c r="Q631" s="201"/>
      <c r="R631" s="527"/>
      <c r="S631" s="159"/>
      <c r="T631" s="391"/>
      <c r="U631" s="161" t="s">
        <v>582</v>
      </c>
    </row>
    <row r="632" spans="1:21" hidden="1" outlineLevel="2">
      <c r="A632" s="162"/>
      <c r="B632" s="171"/>
      <c r="C632" s="174" t="s">
        <v>492</v>
      </c>
      <c r="D632" s="340"/>
      <c r="E632" s="164"/>
      <c r="F632" s="165"/>
      <c r="G632" s="172"/>
      <c r="H632" s="164"/>
      <c r="I632" s="164"/>
      <c r="J632" s="164"/>
      <c r="K632" s="165"/>
      <c r="L632" s="176"/>
      <c r="M632" s="156"/>
      <c r="N632" s="250"/>
      <c r="O632" s="157"/>
      <c r="P632" s="251"/>
      <c r="Q632" s="201"/>
      <c r="R632" s="527"/>
      <c r="S632" s="159"/>
      <c r="T632" s="391"/>
      <c r="U632" s="161"/>
    </row>
    <row r="633" spans="1:21" hidden="1" outlineLevel="2">
      <c r="A633" s="162"/>
      <c r="B633" s="171"/>
      <c r="C633" s="174" t="s">
        <v>493</v>
      </c>
      <c r="D633" s="340"/>
      <c r="E633" s="164"/>
      <c r="F633" s="165"/>
      <c r="G633" s="172"/>
      <c r="H633" s="164"/>
      <c r="I633" s="164"/>
      <c r="J633" s="164"/>
      <c r="K633" s="165"/>
      <c r="L633" s="176"/>
      <c r="M633" s="156">
        <v>350000</v>
      </c>
      <c r="N633" s="244">
        <f>M633*1.23</f>
        <v>430500</v>
      </c>
      <c r="O633" s="157"/>
      <c r="P633" s="251"/>
      <c r="Q633" s="201"/>
      <c r="R633" s="527"/>
      <c r="S633" s="159">
        <f t="shared" ref="S633" si="30">SUM(L633,N633,P633,R633)</f>
        <v>430500</v>
      </c>
      <c r="T633" s="391"/>
      <c r="U633" s="161"/>
    </row>
    <row r="634" spans="1:21" hidden="1" outlineLevel="2">
      <c r="A634" s="162"/>
      <c r="B634" s="171"/>
      <c r="C634" s="174" t="s">
        <v>494</v>
      </c>
      <c r="D634" s="340"/>
      <c r="E634" s="164"/>
      <c r="F634" s="165"/>
      <c r="G634" s="172"/>
      <c r="H634" s="164"/>
      <c r="I634" s="164"/>
      <c r="J634" s="164"/>
      <c r="K634" s="165"/>
      <c r="L634" s="176"/>
      <c r="M634" s="156"/>
      <c r="N634" s="250"/>
      <c r="O634" s="157"/>
      <c r="P634" s="251"/>
      <c r="Q634" s="201"/>
      <c r="R634" s="527"/>
      <c r="S634" s="159"/>
      <c r="T634" s="391"/>
      <c r="U634" s="161"/>
    </row>
    <row r="635" spans="1:21" hidden="1" outlineLevel="2">
      <c r="A635" s="162"/>
      <c r="B635" s="171"/>
      <c r="C635" s="151" t="s">
        <v>507</v>
      </c>
      <c r="D635" s="339"/>
      <c r="E635" s="164"/>
      <c r="F635" s="165"/>
      <c r="G635" s="172"/>
      <c r="H635" s="164"/>
      <c r="I635" s="164"/>
      <c r="J635" s="164"/>
      <c r="K635" s="165"/>
      <c r="L635" s="176"/>
      <c r="M635" s="156"/>
      <c r="N635" s="250"/>
      <c r="O635" s="157"/>
      <c r="P635" s="251"/>
      <c r="Q635" s="201"/>
      <c r="R635" s="527"/>
      <c r="S635" s="159"/>
      <c r="T635" s="391"/>
      <c r="U635" s="161"/>
    </row>
    <row r="636" spans="1:21" hidden="1" outlineLevel="2">
      <c r="A636" s="162"/>
      <c r="B636" s="171"/>
      <c r="C636" s="174" t="s">
        <v>496</v>
      </c>
      <c r="D636" s="340"/>
      <c r="E636" s="164"/>
      <c r="F636" s="165"/>
      <c r="G636" s="172"/>
      <c r="H636" s="164"/>
      <c r="I636" s="164"/>
      <c r="J636" s="164"/>
      <c r="K636" s="165"/>
      <c r="L636" s="176"/>
      <c r="M636" s="156"/>
      <c r="N636" s="250"/>
      <c r="O636" s="157"/>
      <c r="P636" s="251"/>
      <c r="Q636" s="201"/>
      <c r="R636" s="527"/>
      <c r="S636" s="159"/>
      <c r="T636" s="391"/>
      <c r="U636" s="161"/>
    </row>
    <row r="637" spans="1:21" hidden="1" outlineLevel="2">
      <c r="A637" s="162"/>
      <c r="B637" s="171"/>
      <c r="C637" s="174" t="s">
        <v>497</v>
      </c>
      <c r="D637" s="340"/>
      <c r="E637" s="164"/>
      <c r="F637" s="165"/>
      <c r="G637" s="172"/>
      <c r="H637" s="164"/>
      <c r="I637" s="164"/>
      <c r="J637" s="164"/>
      <c r="K637" s="165"/>
      <c r="L637" s="176"/>
      <c r="M637" s="156"/>
      <c r="N637" s="250"/>
      <c r="O637" s="157"/>
      <c r="P637" s="251"/>
      <c r="Q637" s="201"/>
      <c r="R637" s="527"/>
      <c r="S637" s="159"/>
      <c r="T637" s="391"/>
      <c r="U637" s="161"/>
    </row>
    <row r="638" spans="1:21" hidden="1" outlineLevel="2">
      <c r="A638" s="162"/>
      <c r="B638" s="171"/>
      <c r="C638" s="174" t="s">
        <v>499</v>
      </c>
      <c r="D638" s="340"/>
      <c r="E638" s="164"/>
      <c r="F638" s="165"/>
      <c r="G638" s="172"/>
      <c r="H638" s="164"/>
      <c r="I638" s="164"/>
      <c r="J638" s="164"/>
      <c r="K638" s="165"/>
      <c r="L638" s="176"/>
      <c r="M638" s="156"/>
      <c r="N638" s="250"/>
      <c r="O638" s="157"/>
      <c r="P638" s="251"/>
      <c r="Q638" s="201"/>
      <c r="R638" s="527"/>
      <c r="S638" s="159"/>
      <c r="T638" s="391"/>
      <c r="U638" s="161"/>
    </row>
    <row r="639" spans="1:21" hidden="1" outlineLevel="2">
      <c r="A639" s="162"/>
      <c r="B639" s="171"/>
      <c r="C639" s="174" t="s">
        <v>526</v>
      </c>
      <c r="D639" s="340"/>
      <c r="E639" s="164"/>
      <c r="F639" s="165"/>
      <c r="G639" s="172"/>
      <c r="H639" s="164"/>
      <c r="I639" s="164"/>
      <c r="J639" s="164"/>
      <c r="K639" s="165"/>
      <c r="L639" s="176"/>
      <c r="M639" s="156"/>
      <c r="N639" s="250"/>
      <c r="O639" s="203">
        <v>300000</v>
      </c>
      <c r="P639" s="251">
        <f>O639*1.46</f>
        <v>438000</v>
      </c>
      <c r="Q639" s="201"/>
      <c r="R639" s="527"/>
      <c r="S639" s="159">
        <f t="shared" ref="S639:S640" si="31">SUM(L639,N639,P639,R639)</f>
        <v>438000</v>
      </c>
      <c r="T639" s="391"/>
      <c r="U639" s="161"/>
    </row>
    <row r="640" spans="1:21" s="135" customFormat="1" hidden="1" outlineLevel="1" collapsed="1">
      <c r="A640" s="229"/>
      <c r="B640" s="151"/>
      <c r="C640" s="151" t="s">
        <v>578</v>
      </c>
      <c r="D640" s="339"/>
      <c r="E640" s="244"/>
      <c r="F640" s="248"/>
      <c r="G640" s="249"/>
      <c r="H640" s="244"/>
      <c r="I640" s="244"/>
      <c r="J640" s="244"/>
      <c r="K640" s="248"/>
      <c r="L640" s="159"/>
      <c r="M640" s="156">
        <f>SUM(M615:M639)</f>
        <v>725000</v>
      </c>
      <c r="N640" s="244">
        <f>M640*1.23</f>
        <v>891750</v>
      </c>
      <c r="O640" s="157">
        <f>SUM(O615:O639)</f>
        <v>300000</v>
      </c>
      <c r="P640" s="251">
        <f>O640*1.46</f>
        <v>438000</v>
      </c>
      <c r="Q640" s="201">
        <f>SUM(Q615:Q639)</f>
        <v>750000</v>
      </c>
      <c r="R640" s="527">
        <f>Q640*1.73</f>
        <v>1297500</v>
      </c>
      <c r="S640" s="159">
        <f t="shared" si="31"/>
        <v>2627250</v>
      </c>
      <c r="T640" s="391" t="s">
        <v>360</v>
      </c>
      <c r="U640" s="263"/>
    </row>
    <row r="641" spans="1:21" hidden="1" outlineLevel="2">
      <c r="A641" s="162"/>
      <c r="B641" s="151" t="s">
        <v>583</v>
      </c>
      <c r="C641" s="171"/>
      <c r="D641" s="345"/>
      <c r="E641" s="164"/>
      <c r="F641" s="165"/>
      <c r="G641" s="172"/>
      <c r="H641" s="164"/>
      <c r="I641" s="164"/>
      <c r="J641" s="164"/>
      <c r="K641" s="165"/>
      <c r="L641" s="176"/>
      <c r="M641" s="156"/>
      <c r="N641" s="244"/>
      <c r="O641" s="157"/>
      <c r="P641" s="244"/>
      <c r="Q641" s="158"/>
      <c r="R641" s="501"/>
      <c r="S641" s="159"/>
      <c r="T641" s="391"/>
      <c r="U641" s="170"/>
    </row>
    <row r="642" spans="1:21" hidden="1" outlineLevel="2">
      <c r="A642" s="162"/>
      <c r="B642" s="171"/>
      <c r="C642" s="151" t="s">
        <v>503</v>
      </c>
      <c r="D642" s="339"/>
      <c r="E642" s="164"/>
      <c r="F642" s="165"/>
      <c r="G642" s="172"/>
      <c r="H642" s="164"/>
      <c r="I642" s="164"/>
      <c r="J642" s="164"/>
      <c r="K642" s="165"/>
      <c r="L642" s="176"/>
      <c r="M642" s="156"/>
      <c r="N642" s="244"/>
      <c r="O642" s="157"/>
      <c r="P642" s="244"/>
      <c r="Q642" s="158"/>
      <c r="R642" s="501"/>
      <c r="S642" s="159"/>
      <c r="T642" s="391"/>
      <c r="U642" s="170"/>
    </row>
    <row r="643" spans="1:21" hidden="1" outlineLevel="2">
      <c r="A643" s="162"/>
      <c r="B643" s="171"/>
      <c r="C643" s="174" t="s">
        <v>477</v>
      </c>
      <c r="D643" s="340"/>
      <c r="E643" s="164"/>
      <c r="F643" s="165"/>
      <c r="G643" s="172"/>
      <c r="H643" s="164"/>
      <c r="I643" s="164"/>
      <c r="J643" s="164"/>
      <c r="K643" s="165"/>
      <c r="L643" s="176"/>
      <c r="M643" s="156"/>
      <c r="N643" s="244"/>
      <c r="O643" s="157"/>
      <c r="P643" s="244"/>
      <c r="Q643" s="158"/>
      <c r="R643" s="501"/>
      <c r="S643" s="159"/>
      <c r="T643" s="391"/>
      <c r="U643" s="170"/>
    </row>
    <row r="644" spans="1:21" hidden="1" outlineLevel="2">
      <c r="A644" s="162"/>
      <c r="B644" s="171"/>
      <c r="C644" s="174" t="s">
        <v>478</v>
      </c>
      <c r="D644" s="340"/>
      <c r="E644" s="164"/>
      <c r="F644" s="165"/>
      <c r="G644" s="172"/>
      <c r="H644" s="164"/>
      <c r="I644" s="164"/>
      <c r="J644" s="164"/>
      <c r="K644" s="165"/>
      <c r="L644" s="176"/>
      <c r="M644" s="156"/>
      <c r="N644" s="244"/>
      <c r="O644" s="157"/>
      <c r="P644" s="244"/>
      <c r="Q644" s="158">
        <v>1000000</v>
      </c>
      <c r="R644" s="501">
        <f>Q644*1.73</f>
        <v>1730000</v>
      </c>
      <c r="S644" s="159">
        <f t="shared" ref="S644:S668" si="32">SUM(L644,N644,P644,R644)</f>
        <v>1730000</v>
      </c>
      <c r="T644" s="391"/>
      <c r="U644" s="170"/>
    </row>
    <row r="645" spans="1:21" hidden="1" outlineLevel="2">
      <c r="A645" s="162"/>
      <c r="B645" s="171"/>
      <c r="C645" s="174" t="s">
        <v>479</v>
      </c>
      <c r="D645" s="340"/>
      <c r="E645" s="164"/>
      <c r="F645" s="165"/>
      <c r="G645" s="172"/>
      <c r="H645" s="164"/>
      <c r="I645" s="164"/>
      <c r="J645" s="164"/>
      <c r="K645" s="165"/>
      <c r="L645" s="176"/>
      <c r="M645" s="156"/>
      <c r="N645" s="244"/>
      <c r="O645" s="157"/>
      <c r="P645" s="244"/>
      <c r="Q645" s="158">
        <v>100000</v>
      </c>
      <c r="R645" s="501">
        <f>Q645*1.73</f>
        <v>173000</v>
      </c>
      <c r="S645" s="159">
        <f t="shared" si="32"/>
        <v>173000</v>
      </c>
      <c r="T645" s="391"/>
      <c r="U645" s="170"/>
    </row>
    <row r="646" spans="1:21" hidden="1" outlineLevel="2">
      <c r="A646" s="162"/>
      <c r="B646" s="171"/>
      <c r="C646" s="174" t="s">
        <v>480</v>
      </c>
      <c r="D646" s="340"/>
      <c r="E646" s="164"/>
      <c r="F646" s="165"/>
      <c r="G646" s="172"/>
      <c r="H646" s="164"/>
      <c r="I646" s="164"/>
      <c r="J646" s="164"/>
      <c r="K646" s="165"/>
      <c r="L646" s="176"/>
      <c r="M646" s="156"/>
      <c r="N646" s="244"/>
      <c r="O646" s="157"/>
      <c r="P646" s="244"/>
      <c r="Q646" s="158"/>
      <c r="R646" s="501"/>
      <c r="S646" s="159"/>
      <c r="T646" s="391"/>
      <c r="U646" s="170"/>
    </row>
    <row r="647" spans="1:21" hidden="1" outlineLevel="2">
      <c r="A647" s="162"/>
      <c r="B647" s="171"/>
      <c r="C647" s="174" t="s">
        <v>481</v>
      </c>
      <c r="D647" s="340"/>
      <c r="E647" s="164"/>
      <c r="F647" s="165"/>
      <c r="G647" s="172"/>
      <c r="H647" s="164"/>
      <c r="I647" s="164"/>
      <c r="J647" s="164"/>
      <c r="K647" s="165"/>
      <c r="L647" s="176"/>
      <c r="M647" s="156"/>
      <c r="N647" s="244"/>
      <c r="O647" s="157"/>
      <c r="P647" s="244"/>
      <c r="Q647" s="158"/>
      <c r="R647" s="501"/>
      <c r="S647" s="159"/>
      <c r="T647" s="391"/>
      <c r="U647" s="170" t="s">
        <v>584</v>
      </c>
    </row>
    <row r="648" spans="1:21" hidden="1" outlineLevel="2">
      <c r="A648" s="162"/>
      <c r="B648" s="171"/>
      <c r="C648" s="151" t="s">
        <v>504</v>
      </c>
      <c r="D648" s="339"/>
      <c r="E648" s="164"/>
      <c r="F648" s="165"/>
      <c r="G648" s="172"/>
      <c r="H648" s="164"/>
      <c r="I648" s="164"/>
      <c r="J648" s="164"/>
      <c r="K648" s="165"/>
      <c r="L648" s="176"/>
      <c r="M648" s="156"/>
      <c r="N648" s="244"/>
      <c r="O648" s="157"/>
      <c r="P648" s="244"/>
      <c r="Q648" s="158"/>
      <c r="R648" s="501"/>
      <c r="S648" s="159"/>
      <c r="T648" s="391"/>
      <c r="U648" s="170"/>
    </row>
    <row r="649" spans="1:21" hidden="1" outlineLevel="2">
      <c r="A649" s="162"/>
      <c r="B649" s="171"/>
      <c r="C649" s="174" t="s">
        <v>483</v>
      </c>
      <c r="D649" s="340"/>
      <c r="E649" s="164"/>
      <c r="F649" s="165"/>
      <c r="G649" s="172"/>
      <c r="H649" s="164"/>
      <c r="I649" s="164"/>
      <c r="J649" s="164"/>
      <c r="K649" s="165"/>
      <c r="L649" s="176"/>
      <c r="M649" s="156"/>
      <c r="N649" s="244"/>
      <c r="O649" s="157"/>
      <c r="P649" s="244"/>
      <c r="Q649" s="158"/>
      <c r="R649" s="501"/>
      <c r="S649" s="159"/>
      <c r="T649" s="391"/>
      <c r="U649" s="175" t="s">
        <v>585</v>
      </c>
    </row>
    <row r="650" spans="1:21" hidden="1" outlineLevel="2">
      <c r="A650" s="162"/>
      <c r="B650" s="171"/>
      <c r="C650" s="174" t="s">
        <v>484</v>
      </c>
      <c r="D650" s="340"/>
      <c r="E650" s="164"/>
      <c r="F650" s="165"/>
      <c r="G650" s="172"/>
      <c r="H650" s="164"/>
      <c r="I650" s="164"/>
      <c r="J650" s="164"/>
      <c r="K650" s="165"/>
      <c r="L650" s="176"/>
      <c r="M650" s="156"/>
      <c r="N650" s="244"/>
      <c r="O650" s="157"/>
      <c r="P650" s="244"/>
      <c r="Q650" s="158"/>
      <c r="R650" s="501"/>
      <c r="S650" s="159"/>
      <c r="T650" s="391"/>
      <c r="U650" s="170"/>
    </row>
    <row r="651" spans="1:21" hidden="1" outlineLevel="2">
      <c r="A651" s="162"/>
      <c r="B651" s="171"/>
      <c r="C651" s="174" t="s">
        <v>479</v>
      </c>
      <c r="D651" s="340"/>
      <c r="E651" s="164"/>
      <c r="F651" s="165"/>
      <c r="G651" s="172"/>
      <c r="H651" s="164"/>
      <c r="I651" s="164"/>
      <c r="J651" s="164"/>
      <c r="K651" s="165"/>
      <c r="L651" s="176"/>
      <c r="M651" s="156"/>
      <c r="N651" s="244"/>
      <c r="O651" s="157"/>
      <c r="P651" s="244"/>
      <c r="Q651" s="158"/>
      <c r="R651" s="501"/>
      <c r="S651" s="159"/>
      <c r="T651" s="391"/>
      <c r="U651" s="170"/>
    </row>
    <row r="652" spans="1:21" hidden="1" outlineLevel="2">
      <c r="A652" s="162"/>
      <c r="B652" s="171"/>
      <c r="C652" s="174" t="s">
        <v>485</v>
      </c>
      <c r="D652" s="340"/>
      <c r="E652" s="164"/>
      <c r="F652" s="165"/>
      <c r="G652" s="172"/>
      <c r="H652" s="164"/>
      <c r="I652" s="164"/>
      <c r="J652" s="164"/>
      <c r="K652" s="165"/>
      <c r="L652" s="176"/>
      <c r="M652" s="156"/>
      <c r="N652" s="244"/>
      <c r="O652" s="157"/>
      <c r="P652" s="244"/>
      <c r="Q652" s="158">
        <v>150000</v>
      </c>
      <c r="R652" s="501">
        <f>Q652*1.73</f>
        <v>259500</v>
      </c>
      <c r="S652" s="159">
        <f t="shared" si="32"/>
        <v>259500</v>
      </c>
      <c r="T652" s="391"/>
      <c r="U652" s="170"/>
    </row>
    <row r="653" spans="1:21" hidden="1" outlineLevel="2">
      <c r="A653" s="162"/>
      <c r="B653" s="171"/>
      <c r="C653" s="151" t="s">
        <v>505</v>
      </c>
      <c r="D653" s="339"/>
      <c r="E653" s="164"/>
      <c r="F653" s="165"/>
      <c r="G653" s="172"/>
      <c r="H653" s="164"/>
      <c r="I653" s="164"/>
      <c r="J653" s="164"/>
      <c r="K653" s="165"/>
      <c r="L653" s="176"/>
      <c r="M653" s="156"/>
      <c r="N653" s="244"/>
      <c r="O653" s="157"/>
      <c r="P653" s="244"/>
      <c r="Q653" s="158"/>
      <c r="R653" s="501"/>
      <c r="S653" s="159"/>
      <c r="T653" s="391"/>
      <c r="U653" s="170"/>
    </row>
    <row r="654" spans="1:21" hidden="1" outlineLevel="2">
      <c r="A654" s="162"/>
      <c r="B654" s="171"/>
      <c r="C654" s="174" t="s">
        <v>487</v>
      </c>
      <c r="D654" s="340"/>
      <c r="E654" s="164"/>
      <c r="F654" s="165"/>
      <c r="G654" s="172"/>
      <c r="H654" s="164"/>
      <c r="I654" s="164"/>
      <c r="J654" s="164"/>
      <c r="K654" s="165"/>
      <c r="L654" s="176"/>
      <c r="M654" s="156"/>
      <c r="N654" s="244"/>
      <c r="O654" s="157"/>
      <c r="P654" s="244"/>
      <c r="Q654" s="158"/>
      <c r="R654" s="501"/>
      <c r="S654" s="159"/>
      <c r="T654" s="391"/>
      <c r="U654" s="170"/>
    </row>
    <row r="655" spans="1:21" hidden="1" outlineLevel="2">
      <c r="A655" s="162"/>
      <c r="B655" s="171"/>
      <c r="C655" s="174" t="s">
        <v>479</v>
      </c>
      <c r="D655" s="340"/>
      <c r="E655" s="164"/>
      <c r="F655" s="165"/>
      <c r="G655" s="172"/>
      <c r="H655" s="164"/>
      <c r="I655" s="164"/>
      <c r="J655" s="164"/>
      <c r="K655" s="165"/>
      <c r="L655" s="176"/>
      <c r="M655" s="156"/>
      <c r="N655" s="244"/>
      <c r="O655" s="157"/>
      <c r="P655" s="244"/>
      <c r="Q655" s="158"/>
      <c r="R655" s="501"/>
      <c r="S655" s="159"/>
      <c r="T655" s="391"/>
      <c r="U655" s="170"/>
    </row>
    <row r="656" spans="1:21" hidden="1" outlineLevel="2">
      <c r="A656" s="162"/>
      <c r="B656" s="171"/>
      <c r="C656" s="174" t="s">
        <v>488</v>
      </c>
      <c r="D656" s="340"/>
      <c r="E656" s="164"/>
      <c r="F656" s="165"/>
      <c r="G656" s="172"/>
      <c r="H656" s="164"/>
      <c r="I656" s="164"/>
      <c r="J656" s="164"/>
      <c r="K656" s="165"/>
      <c r="L656" s="176"/>
      <c r="M656" s="156"/>
      <c r="N656" s="244"/>
      <c r="O656" s="157"/>
      <c r="P656" s="244"/>
      <c r="Q656" s="158"/>
      <c r="R656" s="501"/>
      <c r="S656" s="159"/>
      <c r="T656" s="391"/>
      <c r="U656" s="170"/>
    </row>
    <row r="657" spans="1:21" hidden="1" outlineLevel="2">
      <c r="A657" s="162"/>
      <c r="B657" s="171"/>
      <c r="C657" s="174" t="s">
        <v>489</v>
      </c>
      <c r="D657" s="340"/>
      <c r="E657" s="164"/>
      <c r="F657" s="165"/>
      <c r="G657" s="172"/>
      <c r="H657" s="164"/>
      <c r="I657" s="164"/>
      <c r="J657" s="164"/>
      <c r="K657" s="165"/>
      <c r="L657" s="176"/>
      <c r="M657" s="156"/>
      <c r="N657" s="244"/>
      <c r="O657" s="157"/>
      <c r="P657" s="244"/>
      <c r="Q657" s="158"/>
      <c r="R657" s="501"/>
      <c r="S657" s="159"/>
      <c r="T657" s="391"/>
      <c r="U657" s="170"/>
    </row>
    <row r="658" spans="1:21" hidden="1" outlineLevel="2">
      <c r="A658" s="162"/>
      <c r="B658" s="171"/>
      <c r="C658" s="151" t="s">
        <v>506</v>
      </c>
      <c r="D658" s="339"/>
      <c r="E658" s="164"/>
      <c r="F658" s="165"/>
      <c r="G658" s="172"/>
      <c r="H658" s="164"/>
      <c r="I658" s="164"/>
      <c r="J658" s="164"/>
      <c r="K658" s="165"/>
      <c r="L658" s="176"/>
      <c r="M658" s="156"/>
      <c r="N658" s="244"/>
      <c r="O658" s="157"/>
      <c r="P658" s="244"/>
      <c r="Q658" s="158"/>
      <c r="R658" s="501"/>
      <c r="S658" s="159"/>
      <c r="T658" s="391"/>
      <c r="U658" s="170"/>
    </row>
    <row r="659" spans="1:21" hidden="1" outlineLevel="2">
      <c r="A659" s="162"/>
      <c r="B659" s="171"/>
      <c r="C659" s="174" t="s">
        <v>491</v>
      </c>
      <c r="D659" s="340"/>
      <c r="E659" s="164"/>
      <c r="F659" s="165"/>
      <c r="G659" s="172"/>
      <c r="H659" s="164"/>
      <c r="I659" s="164"/>
      <c r="J659" s="164"/>
      <c r="K659" s="165"/>
      <c r="L659" s="176"/>
      <c r="M659" s="156"/>
      <c r="N659" s="244"/>
      <c r="O659" s="157"/>
      <c r="P659" s="244"/>
      <c r="Q659" s="158"/>
      <c r="R659" s="501"/>
      <c r="S659" s="159"/>
      <c r="T659" s="391"/>
      <c r="U659" s="170"/>
    </row>
    <row r="660" spans="1:21" hidden="1" outlineLevel="2">
      <c r="A660" s="162"/>
      <c r="B660" s="171"/>
      <c r="C660" s="174" t="s">
        <v>492</v>
      </c>
      <c r="D660" s="340"/>
      <c r="E660" s="164"/>
      <c r="F660" s="165"/>
      <c r="G660" s="172"/>
      <c r="H660" s="164"/>
      <c r="I660" s="164"/>
      <c r="J660" s="164"/>
      <c r="K660" s="165"/>
      <c r="L660" s="176"/>
      <c r="M660" s="156"/>
      <c r="N660" s="244"/>
      <c r="O660" s="157"/>
      <c r="P660" s="244"/>
      <c r="Q660" s="158">
        <v>6000000</v>
      </c>
      <c r="R660" s="501">
        <f>Q660*1.73</f>
        <v>10380000</v>
      </c>
      <c r="S660" s="159">
        <f t="shared" si="32"/>
        <v>10380000</v>
      </c>
      <c r="T660" s="391"/>
      <c r="U660" s="170"/>
    </row>
    <row r="661" spans="1:21" hidden="1" outlineLevel="2">
      <c r="A661" s="162"/>
      <c r="B661" s="171"/>
      <c r="C661" s="174" t="s">
        <v>493</v>
      </c>
      <c r="D661" s="340"/>
      <c r="E661" s="164"/>
      <c r="F661" s="165"/>
      <c r="G661" s="172"/>
      <c r="H661" s="164"/>
      <c r="I661" s="164"/>
      <c r="J661" s="164"/>
      <c r="K661" s="165"/>
      <c r="L661" s="176"/>
      <c r="M661" s="156"/>
      <c r="N661" s="244"/>
      <c r="O661" s="157"/>
      <c r="P661" s="244"/>
      <c r="Q661" s="158">
        <v>2500000</v>
      </c>
      <c r="R661" s="501">
        <f>Q661*1.73</f>
        <v>4325000</v>
      </c>
      <c r="S661" s="159">
        <f t="shared" si="32"/>
        <v>4325000</v>
      </c>
      <c r="T661" s="391"/>
      <c r="U661" s="170"/>
    </row>
    <row r="662" spans="1:21" hidden="1" outlineLevel="2">
      <c r="A662" s="162"/>
      <c r="B662" s="171"/>
      <c r="C662" s="174" t="s">
        <v>494</v>
      </c>
      <c r="D662" s="340"/>
      <c r="E662" s="164"/>
      <c r="F662" s="165"/>
      <c r="G662" s="172"/>
      <c r="H662" s="164"/>
      <c r="I662" s="164"/>
      <c r="J662" s="164"/>
      <c r="K662" s="165"/>
      <c r="L662" s="176"/>
      <c r="M662" s="156"/>
      <c r="N662" s="244"/>
      <c r="O662" s="157"/>
      <c r="P662" s="244"/>
      <c r="Q662" s="158"/>
      <c r="R662" s="501"/>
      <c r="S662" s="159"/>
      <c r="T662" s="391"/>
      <c r="U662" s="170"/>
    </row>
    <row r="663" spans="1:21" hidden="1" outlineLevel="2">
      <c r="A663" s="162"/>
      <c r="B663" s="171"/>
      <c r="C663" s="151" t="s">
        <v>507</v>
      </c>
      <c r="D663" s="339"/>
      <c r="E663" s="164"/>
      <c r="F663" s="165"/>
      <c r="G663" s="172"/>
      <c r="H663" s="164"/>
      <c r="I663" s="164"/>
      <c r="J663" s="164"/>
      <c r="K663" s="165"/>
      <c r="L663" s="176"/>
      <c r="M663" s="156"/>
      <c r="N663" s="244"/>
      <c r="O663" s="157"/>
      <c r="P663" s="244"/>
      <c r="Q663" s="158"/>
      <c r="R663" s="501"/>
      <c r="S663" s="159"/>
      <c r="T663" s="391"/>
      <c r="U663" s="170"/>
    </row>
    <row r="664" spans="1:21" hidden="1" outlineLevel="2">
      <c r="A664" s="162"/>
      <c r="B664" s="171"/>
      <c r="C664" s="174" t="s">
        <v>496</v>
      </c>
      <c r="D664" s="340"/>
      <c r="E664" s="164"/>
      <c r="F664" s="165"/>
      <c r="G664" s="172"/>
      <c r="H664" s="164"/>
      <c r="I664" s="164"/>
      <c r="J664" s="164"/>
      <c r="K664" s="165"/>
      <c r="L664" s="176"/>
      <c r="M664" s="156"/>
      <c r="N664" s="244"/>
      <c r="O664" s="157"/>
      <c r="P664" s="244"/>
      <c r="Q664" s="158"/>
      <c r="R664" s="501"/>
      <c r="S664" s="159"/>
      <c r="T664" s="391"/>
      <c r="U664" s="170"/>
    </row>
    <row r="665" spans="1:21" hidden="1" outlineLevel="2">
      <c r="A665" s="162"/>
      <c r="B665" s="171"/>
      <c r="C665" s="174" t="s">
        <v>497</v>
      </c>
      <c r="D665" s="340"/>
      <c r="E665" s="164"/>
      <c r="F665" s="165"/>
      <c r="G665" s="172"/>
      <c r="H665" s="164"/>
      <c r="I665" s="164"/>
      <c r="J665" s="164"/>
      <c r="K665" s="165"/>
      <c r="L665" s="176"/>
      <c r="M665" s="156">
        <v>850000</v>
      </c>
      <c r="N665" s="244">
        <f>M665*1.23</f>
        <v>1045500</v>
      </c>
      <c r="O665" s="157"/>
      <c r="P665" s="244"/>
      <c r="Q665" s="158"/>
      <c r="R665" s="501"/>
      <c r="S665" s="159">
        <f t="shared" si="32"/>
        <v>1045500</v>
      </c>
      <c r="T665" s="391"/>
      <c r="U665" s="170" t="s">
        <v>586</v>
      </c>
    </row>
    <row r="666" spans="1:21" hidden="1" outlineLevel="2">
      <c r="A666" s="162"/>
      <c r="B666" s="171"/>
      <c r="C666" s="174" t="s">
        <v>499</v>
      </c>
      <c r="D666" s="340"/>
      <c r="E666" s="164"/>
      <c r="F666" s="165"/>
      <c r="G666" s="172"/>
      <c r="H666" s="164"/>
      <c r="I666" s="164"/>
      <c r="J666" s="164"/>
      <c r="K666" s="165"/>
      <c r="L666" s="176"/>
      <c r="M666" s="156"/>
      <c r="N666" s="244"/>
      <c r="O666" s="157"/>
      <c r="P666" s="244"/>
      <c r="Q666" s="158"/>
      <c r="R666" s="501"/>
      <c r="S666" s="159"/>
      <c r="T666" s="391"/>
      <c r="U666" s="170"/>
    </row>
    <row r="667" spans="1:21" hidden="1" outlineLevel="2">
      <c r="A667" s="162"/>
      <c r="B667" s="171"/>
      <c r="C667" s="174" t="s">
        <v>587</v>
      </c>
      <c r="D667" s="340"/>
      <c r="E667" s="164"/>
      <c r="F667" s="165"/>
      <c r="G667" s="172"/>
      <c r="H667" s="164"/>
      <c r="I667" s="164"/>
      <c r="J667" s="164"/>
      <c r="K667" s="165"/>
      <c r="L667" s="176"/>
      <c r="M667" s="156"/>
      <c r="N667" s="244"/>
      <c r="O667" s="157"/>
      <c r="P667" s="244"/>
      <c r="Q667" s="158"/>
      <c r="R667" s="501"/>
      <c r="S667" s="159"/>
      <c r="T667" s="391"/>
      <c r="U667" s="170"/>
    </row>
    <row r="668" spans="1:21" hidden="1" outlineLevel="1" collapsed="1">
      <c r="A668" s="162"/>
      <c r="B668" s="171"/>
      <c r="C668" s="151" t="s">
        <v>583</v>
      </c>
      <c r="D668" s="339"/>
      <c r="E668" s="164"/>
      <c r="F668" s="165"/>
      <c r="G668" s="249"/>
      <c r="H668" s="244"/>
      <c r="I668" s="244"/>
      <c r="J668" s="244"/>
      <c r="K668" s="248"/>
      <c r="L668" s="159"/>
      <c r="M668" s="156">
        <f>SUM(M643:M667)</f>
        <v>850000</v>
      </c>
      <c r="N668" s="244">
        <f>M668*1.23</f>
        <v>1045500</v>
      </c>
      <c r="O668" s="157" t="s">
        <v>514</v>
      </c>
      <c r="P668" s="244"/>
      <c r="Q668" s="158">
        <f>SUM(Q643:Q667)</f>
        <v>9750000</v>
      </c>
      <c r="R668" s="501">
        <f>Q668*1.73</f>
        <v>16867500</v>
      </c>
      <c r="S668" s="159">
        <f t="shared" si="32"/>
        <v>17913000</v>
      </c>
      <c r="T668" s="391" t="s">
        <v>360</v>
      </c>
      <c r="U668" s="170"/>
    </row>
    <row r="669" spans="1:21" hidden="1" outlineLevel="2">
      <c r="A669" s="162"/>
      <c r="B669" s="151" t="s">
        <v>588</v>
      </c>
      <c r="C669" s="171"/>
      <c r="D669" s="345"/>
      <c r="E669" s="164"/>
      <c r="F669" s="165"/>
      <c r="G669" s="172"/>
      <c r="H669" s="164"/>
      <c r="I669" s="164"/>
      <c r="J669" s="164"/>
      <c r="K669" s="165"/>
      <c r="L669" s="176"/>
      <c r="M669" s="156"/>
      <c r="N669" s="244"/>
      <c r="O669" s="157"/>
      <c r="P669" s="244"/>
      <c r="Q669" s="158"/>
      <c r="R669" s="501"/>
      <c r="S669" s="159"/>
      <c r="T669" s="225"/>
      <c r="U669" s="170"/>
    </row>
    <row r="670" spans="1:21" hidden="1" outlineLevel="2">
      <c r="A670" s="162"/>
      <c r="B670" s="171"/>
      <c r="C670" s="151" t="s">
        <v>503</v>
      </c>
      <c r="D670" s="339"/>
      <c r="E670" s="164"/>
      <c r="F670" s="165"/>
      <c r="G670" s="172"/>
      <c r="H670" s="164"/>
      <c r="I670" s="164"/>
      <c r="J670" s="164"/>
      <c r="K670" s="165"/>
      <c r="L670" s="176"/>
      <c r="M670" s="156"/>
      <c r="N670" s="244"/>
      <c r="O670" s="157"/>
      <c r="P670" s="244"/>
      <c r="Q670" s="158"/>
      <c r="R670" s="501"/>
      <c r="S670" s="159"/>
      <c r="T670" s="391"/>
      <c r="U670" s="170"/>
    </row>
    <row r="671" spans="1:21" hidden="1" outlineLevel="2">
      <c r="A671" s="162"/>
      <c r="B671" s="171"/>
      <c r="C671" s="174" t="s">
        <v>477</v>
      </c>
      <c r="D671" s="340"/>
      <c r="E671" s="164"/>
      <c r="F671" s="165"/>
      <c r="G671" s="172"/>
      <c r="H671" s="164"/>
      <c r="I671" s="164"/>
      <c r="J671" s="164"/>
      <c r="K671" s="165"/>
      <c r="L671" s="176"/>
      <c r="M671" s="156"/>
      <c r="N671" s="244"/>
      <c r="O671" s="157"/>
      <c r="P671" s="244"/>
      <c r="Q671" s="158"/>
      <c r="R671" s="501"/>
      <c r="S671" s="159"/>
      <c r="T671" s="391"/>
      <c r="U671" s="170"/>
    </row>
    <row r="672" spans="1:21" hidden="1" outlineLevel="2">
      <c r="A672" s="162"/>
      <c r="B672" s="171"/>
      <c r="C672" s="174" t="s">
        <v>478</v>
      </c>
      <c r="D672" s="340"/>
      <c r="E672" s="164"/>
      <c r="F672" s="165"/>
      <c r="G672" s="172"/>
      <c r="H672" s="164"/>
      <c r="I672" s="164"/>
      <c r="J672" s="164"/>
      <c r="K672" s="165"/>
      <c r="L672" s="176"/>
      <c r="M672" s="156"/>
      <c r="N672" s="244"/>
      <c r="O672" s="157"/>
      <c r="P672" s="244"/>
      <c r="Q672" s="158"/>
      <c r="R672" s="501"/>
      <c r="S672" s="159"/>
      <c r="T672" s="391"/>
      <c r="U672" s="170"/>
    </row>
    <row r="673" spans="1:21" hidden="1" outlineLevel="2">
      <c r="A673" s="162"/>
      <c r="B673" s="171"/>
      <c r="C673" s="174" t="s">
        <v>479</v>
      </c>
      <c r="D673" s="340"/>
      <c r="E673" s="164"/>
      <c r="F673" s="165"/>
      <c r="G673" s="172"/>
      <c r="H673" s="164"/>
      <c r="I673" s="164"/>
      <c r="J673" s="164"/>
      <c r="K673" s="165"/>
      <c r="L673" s="176"/>
      <c r="M673" s="156"/>
      <c r="N673" s="244"/>
      <c r="O673" s="157"/>
      <c r="P673" s="244"/>
      <c r="Q673" s="158"/>
      <c r="R673" s="501"/>
      <c r="S673" s="159"/>
      <c r="T673" s="391"/>
      <c r="U673" s="170"/>
    </row>
    <row r="674" spans="1:21" hidden="1" outlineLevel="2">
      <c r="A674" s="162"/>
      <c r="B674" s="171"/>
      <c r="C674" s="174" t="s">
        <v>480</v>
      </c>
      <c r="D674" s="340"/>
      <c r="E674" s="164"/>
      <c r="F674" s="165"/>
      <c r="G674" s="172"/>
      <c r="H674" s="164"/>
      <c r="I674" s="164"/>
      <c r="J674" s="164"/>
      <c r="K674" s="165"/>
      <c r="L674" s="176"/>
      <c r="M674" s="156"/>
      <c r="N674" s="244"/>
      <c r="O674" s="157"/>
      <c r="P674" s="244"/>
      <c r="Q674" s="158"/>
      <c r="R674" s="501"/>
      <c r="S674" s="159"/>
      <c r="T674" s="391"/>
      <c r="U674" s="170"/>
    </row>
    <row r="675" spans="1:21" hidden="1" outlineLevel="2">
      <c r="A675" s="162"/>
      <c r="B675" s="171"/>
      <c r="C675" s="174" t="s">
        <v>481</v>
      </c>
      <c r="D675" s="340"/>
      <c r="E675" s="164"/>
      <c r="F675" s="165"/>
      <c r="G675" s="172"/>
      <c r="H675" s="164"/>
      <c r="I675" s="164"/>
      <c r="J675" s="164"/>
      <c r="K675" s="165"/>
      <c r="L675" s="176"/>
      <c r="M675" s="156"/>
      <c r="N675" s="244"/>
      <c r="O675" s="157"/>
      <c r="P675" s="244"/>
      <c r="Q675" s="158"/>
      <c r="R675" s="501"/>
      <c r="S675" s="159"/>
      <c r="T675" s="391"/>
      <c r="U675" s="170"/>
    </row>
    <row r="676" spans="1:21" hidden="1" outlineLevel="2">
      <c r="A676" s="162"/>
      <c r="B676" s="171"/>
      <c r="C676" s="151" t="s">
        <v>504</v>
      </c>
      <c r="D676" s="339"/>
      <c r="E676" s="164"/>
      <c r="F676" s="165"/>
      <c r="G676" s="172"/>
      <c r="H676" s="164"/>
      <c r="I676" s="164"/>
      <c r="J676" s="164"/>
      <c r="K676" s="165"/>
      <c r="L676" s="176"/>
      <c r="M676" s="156"/>
      <c r="N676" s="244"/>
      <c r="O676" s="157"/>
      <c r="P676" s="244"/>
      <c r="Q676" s="158"/>
      <c r="R676" s="501"/>
      <c r="S676" s="159"/>
      <c r="T676" s="391"/>
      <c r="U676" s="170"/>
    </row>
    <row r="677" spans="1:21" hidden="1" outlineLevel="2">
      <c r="A677" s="162"/>
      <c r="B677" s="171"/>
      <c r="C677" s="174" t="s">
        <v>483</v>
      </c>
      <c r="D677" s="340"/>
      <c r="E677" s="164"/>
      <c r="F677" s="165"/>
      <c r="G677" s="172"/>
      <c r="H677" s="164"/>
      <c r="I677" s="164"/>
      <c r="J677" s="164"/>
      <c r="K677" s="165"/>
      <c r="L677" s="176"/>
      <c r="M677" s="156"/>
      <c r="N677" s="244"/>
      <c r="O677" s="157"/>
      <c r="P677" s="244"/>
      <c r="Q677" s="158"/>
      <c r="R677" s="501"/>
      <c r="S677" s="159"/>
      <c r="T677" s="391"/>
      <c r="U677" s="175"/>
    </row>
    <row r="678" spans="1:21" hidden="1" outlineLevel="2">
      <c r="A678" s="162"/>
      <c r="B678" s="171"/>
      <c r="C678" s="174" t="s">
        <v>484</v>
      </c>
      <c r="D678" s="340"/>
      <c r="E678" s="164"/>
      <c r="F678" s="165"/>
      <c r="G678" s="172"/>
      <c r="H678" s="164"/>
      <c r="I678" s="164"/>
      <c r="J678" s="164"/>
      <c r="K678" s="165"/>
      <c r="L678" s="176"/>
      <c r="M678" s="156"/>
      <c r="N678" s="244"/>
      <c r="O678" s="157"/>
      <c r="P678" s="244"/>
      <c r="Q678" s="158"/>
      <c r="R678" s="501"/>
      <c r="S678" s="159"/>
      <c r="T678" s="391"/>
      <c r="U678" s="170"/>
    </row>
    <row r="679" spans="1:21" hidden="1" outlineLevel="2">
      <c r="A679" s="162"/>
      <c r="B679" s="171"/>
      <c r="C679" s="174" t="s">
        <v>479</v>
      </c>
      <c r="D679" s="340"/>
      <c r="E679" s="164"/>
      <c r="F679" s="165"/>
      <c r="G679" s="172"/>
      <c r="H679" s="164"/>
      <c r="I679" s="164"/>
      <c r="J679" s="164"/>
      <c r="K679" s="165"/>
      <c r="L679" s="176"/>
      <c r="M679" s="156"/>
      <c r="N679" s="244"/>
      <c r="O679" s="157"/>
      <c r="P679" s="244"/>
      <c r="Q679" s="158"/>
      <c r="R679" s="501"/>
      <c r="S679" s="159"/>
      <c r="T679" s="391"/>
      <c r="U679" s="170"/>
    </row>
    <row r="680" spans="1:21" hidden="1" outlineLevel="2">
      <c r="A680" s="162"/>
      <c r="B680" s="171"/>
      <c r="C680" s="174" t="s">
        <v>485</v>
      </c>
      <c r="D680" s="340"/>
      <c r="E680" s="164"/>
      <c r="F680" s="165"/>
      <c r="G680" s="172"/>
      <c r="H680" s="164"/>
      <c r="I680" s="164"/>
      <c r="J680" s="164"/>
      <c r="K680" s="165"/>
      <c r="L680" s="176"/>
      <c r="M680" s="156"/>
      <c r="N680" s="244"/>
      <c r="O680" s="157"/>
      <c r="P680" s="244"/>
      <c r="Q680" s="158"/>
      <c r="R680" s="501"/>
      <c r="S680" s="159"/>
      <c r="T680" s="391"/>
      <c r="U680" s="170"/>
    </row>
    <row r="681" spans="1:21" hidden="1" outlineLevel="2">
      <c r="A681" s="162"/>
      <c r="B681" s="171"/>
      <c r="C681" s="151" t="s">
        <v>505</v>
      </c>
      <c r="D681" s="339"/>
      <c r="E681" s="164"/>
      <c r="F681" s="165"/>
      <c r="G681" s="172"/>
      <c r="H681" s="164"/>
      <c r="I681" s="164"/>
      <c r="J681" s="164"/>
      <c r="K681" s="165"/>
      <c r="L681" s="176"/>
      <c r="M681" s="156"/>
      <c r="N681" s="244"/>
      <c r="O681" s="157"/>
      <c r="P681" s="244"/>
      <c r="Q681" s="158"/>
      <c r="R681" s="501"/>
      <c r="S681" s="159"/>
      <c r="T681" s="391"/>
      <c r="U681" s="170"/>
    </row>
    <row r="682" spans="1:21" hidden="1" outlineLevel="2">
      <c r="A682" s="162"/>
      <c r="B682" s="171"/>
      <c r="C682" s="174" t="s">
        <v>487</v>
      </c>
      <c r="D682" s="340"/>
      <c r="E682" s="164"/>
      <c r="F682" s="165"/>
      <c r="G682" s="172"/>
      <c r="H682" s="164"/>
      <c r="I682" s="164"/>
      <c r="J682" s="164"/>
      <c r="K682" s="165"/>
      <c r="L682" s="176"/>
      <c r="M682" s="156"/>
      <c r="N682" s="244"/>
      <c r="O682" s="157"/>
      <c r="P682" s="244"/>
      <c r="Q682" s="158"/>
      <c r="R682" s="501"/>
      <c r="S682" s="159"/>
      <c r="T682" s="391"/>
      <c r="U682" s="170"/>
    </row>
    <row r="683" spans="1:21" hidden="1" outlineLevel="2">
      <c r="A683" s="162"/>
      <c r="B683" s="171"/>
      <c r="C683" s="174" t="s">
        <v>479</v>
      </c>
      <c r="D683" s="340"/>
      <c r="E683" s="164"/>
      <c r="F683" s="165"/>
      <c r="G683" s="172"/>
      <c r="H683" s="164"/>
      <c r="I683" s="164"/>
      <c r="J683" s="164"/>
      <c r="K683" s="165"/>
      <c r="L683" s="176"/>
      <c r="M683" s="156"/>
      <c r="N683" s="244"/>
      <c r="O683" s="157"/>
      <c r="P683" s="244"/>
      <c r="Q683" s="158"/>
      <c r="R683" s="501"/>
      <c r="S683" s="159"/>
      <c r="T683" s="391"/>
      <c r="U683" s="170"/>
    </row>
    <row r="684" spans="1:21" hidden="1" outlineLevel="2">
      <c r="A684" s="162"/>
      <c r="B684" s="171"/>
      <c r="C684" s="174" t="s">
        <v>488</v>
      </c>
      <c r="D684" s="340"/>
      <c r="E684" s="164"/>
      <c r="F684" s="165"/>
      <c r="G684" s="172"/>
      <c r="H684" s="164"/>
      <c r="I684" s="164"/>
      <c r="J684" s="164"/>
      <c r="K684" s="165"/>
      <c r="L684" s="176"/>
      <c r="M684" s="156"/>
      <c r="N684" s="244"/>
      <c r="O684" s="157"/>
      <c r="P684" s="244"/>
      <c r="Q684" s="158"/>
      <c r="R684" s="501"/>
      <c r="S684" s="159"/>
      <c r="T684" s="391"/>
      <c r="U684" s="170"/>
    </row>
    <row r="685" spans="1:21" hidden="1" outlineLevel="2">
      <c r="A685" s="162"/>
      <c r="B685" s="171"/>
      <c r="C685" s="174" t="s">
        <v>489</v>
      </c>
      <c r="D685" s="340"/>
      <c r="E685" s="164"/>
      <c r="F685" s="165"/>
      <c r="G685" s="172"/>
      <c r="H685" s="164"/>
      <c r="I685" s="164"/>
      <c r="J685" s="164"/>
      <c r="K685" s="165"/>
      <c r="L685" s="176"/>
      <c r="M685" s="156"/>
      <c r="N685" s="244"/>
      <c r="O685" s="157"/>
      <c r="P685" s="244"/>
      <c r="Q685" s="158"/>
      <c r="R685" s="501"/>
      <c r="S685" s="159"/>
      <c r="T685" s="391"/>
      <c r="U685" s="170"/>
    </row>
    <row r="686" spans="1:21" hidden="1" outlineLevel="2">
      <c r="A686" s="162"/>
      <c r="B686" s="171"/>
      <c r="C686" s="151" t="s">
        <v>506</v>
      </c>
      <c r="D686" s="339"/>
      <c r="E686" s="164"/>
      <c r="F686" s="165"/>
      <c r="G686" s="172"/>
      <c r="H686" s="164"/>
      <c r="I686" s="164"/>
      <c r="J686" s="164"/>
      <c r="K686" s="165"/>
      <c r="L686" s="176"/>
      <c r="M686" s="156"/>
      <c r="N686" s="244"/>
      <c r="O686" s="157"/>
      <c r="P686" s="244"/>
      <c r="Q686" s="158"/>
      <c r="R686" s="501"/>
      <c r="S686" s="159"/>
      <c r="T686" s="391"/>
      <c r="U686" s="170"/>
    </row>
    <row r="687" spans="1:21" hidden="1" outlineLevel="2">
      <c r="A687" s="162"/>
      <c r="B687" s="171"/>
      <c r="C687" s="174" t="s">
        <v>491</v>
      </c>
      <c r="D687" s="340"/>
      <c r="E687" s="164"/>
      <c r="F687" s="165"/>
      <c r="G687" s="172"/>
      <c r="H687" s="164"/>
      <c r="I687" s="164"/>
      <c r="J687" s="164"/>
      <c r="K687" s="165"/>
      <c r="L687" s="176"/>
      <c r="M687" s="156"/>
      <c r="N687" s="244"/>
      <c r="O687" s="157"/>
      <c r="P687" s="244"/>
      <c r="Q687" s="158"/>
      <c r="R687" s="501"/>
      <c r="S687" s="159"/>
      <c r="T687" s="391"/>
      <c r="U687" s="170"/>
    </row>
    <row r="688" spans="1:21" hidden="1" outlineLevel="2">
      <c r="A688" s="162"/>
      <c r="B688" s="171"/>
      <c r="C688" s="174" t="s">
        <v>492</v>
      </c>
      <c r="D688" s="340"/>
      <c r="E688" s="164"/>
      <c r="F688" s="165"/>
      <c r="G688" s="172"/>
      <c r="H688" s="164"/>
      <c r="I688" s="164"/>
      <c r="J688" s="164"/>
      <c r="K688" s="165"/>
      <c r="L688" s="176"/>
      <c r="M688" s="156"/>
      <c r="N688" s="244"/>
      <c r="O688" s="157"/>
      <c r="P688" s="244"/>
      <c r="Q688" s="158"/>
      <c r="R688" s="501"/>
      <c r="S688" s="159"/>
      <c r="T688" s="391"/>
      <c r="U688" s="170"/>
    </row>
    <row r="689" spans="1:21" hidden="1" outlineLevel="2">
      <c r="A689" s="162"/>
      <c r="B689" s="171"/>
      <c r="C689" s="174" t="s">
        <v>493</v>
      </c>
      <c r="D689" s="340"/>
      <c r="E689" s="164"/>
      <c r="F689" s="165"/>
      <c r="G689" s="172"/>
      <c r="H689" s="164"/>
      <c r="I689" s="164"/>
      <c r="J689" s="164"/>
      <c r="K689" s="165"/>
      <c r="L689" s="176"/>
      <c r="M689" s="156"/>
      <c r="N689" s="244"/>
      <c r="O689" s="157"/>
      <c r="P689" s="244"/>
      <c r="Q689" s="158"/>
      <c r="R689" s="501"/>
      <c r="S689" s="159"/>
      <c r="T689" s="391"/>
      <c r="U689" s="170"/>
    </row>
    <row r="690" spans="1:21" hidden="1" outlineLevel="2">
      <c r="A690" s="162"/>
      <c r="B690" s="171"/>
      <c r="C690" s="174" t="s">
        <v>494</v>
      </c>
      <c r="D690" s="340"/>
      <c r="E690" s="164"/>
      <c r="F690" s="165"/>
      <c r="G690" s="172"/>
      <c r="H690" s="164"/>
      <c r="I690" s="164"/>
      <c r="J690" s="164"/>
      <c r="K690" s="165"/>
      <c r="L690" s="176"/>
      <c r="M690" s="156"/>
      <c r="N690" s="244"/>
      <c r="O690" s="157"/>
      <c r="P690" s="244"/>
      <c r="Q690" s="158"/>
      <c r="R690" s="501"/>
      <c r="S690" s="159"/>
      <c r="T690" s="391"/>
      <c r="U690" s="170"/>
    </row>
    <row r="691" spans="1:21" hidden="1" outlineLevel="2">
      <c r="A691" s="162"/>
      <c r="B691" s="171"/>
      <c r="C691" s="151" t="s">
        <v>507</v>
      </c>
      <c r="D691" s="339"/>
      <c r="E691" s="164"/>
      <c r="F691" s="165"/>
      <c r="G691" s="172"/>
      <c r="H691" s="164"/>
      <c r="I691" s="164"/>
      <c r="J691" s="164"/>
      <c r="K691" s="165"/>
      <c r="L691" s="176"/>
      <c r="M691" s="156"/>
      <c r="N691" s="244"/>
      <c r="O691" s="157"/>
      <c r="P691" s="244"/>
      <c r="Q691" s="158"/>
      <c r="R691" s="501"/>
      <c r="S691" s="159"/>
      <c r="T691" s="391"/>
      <c r="U691" s="170"/>
    </row>
    <row r="692" spans="1:21" hidden="1" outlineLevel="2">
      <c r="A692" s="162"/>
      <c r="B692" s="171"/>
      <c r="C692" s="174" t="s">
        <v>496</v>
      </c>
      <c r="D692" s="340"/>
      <c r="E692" s="164"/>
      <c r="F692" s="165"/>
      <c r="G692" s="172"/>
      <c r="H692" s="164"/>
      <c r="I692" s="164"/>
      <c r="J692" s="164"/>
      <c r="K692" s="165"/>
      <c r="L692" s="176"/>
      <c r="M692" s="156"/>
      <c r="N692" s="244"/>
      <c r="O692" s="157"/>
      <c r="P692" s="244"/>
      <c r="Q692" s="158"/>
      <c r="R692" s="501"/>
      <c r="S692" s="159"/>
      <c r="T692" s="391"/>
      <c r="U692" s="170"/>
    </row>
    <row r="693" spans="1:21" hidden="1" outlineLevel="2">
      <c r="A693" s="162"/>
      <c r="B693" s="171"/>
      <c r="C693" s="174" t="s">
        <v>497</v>
      </c>
      <c r="D693" s="340"/>
      <c r="E693" s="164"/>
      <c r="F693" s="165"/>
      <c r="G693" s="172"/>
      <c r="H693" s="164"/>
      <c r="I693" s="164"/>
      <c r="J693" s="164"/>
      <c r="K693" s="165"/>
      <c r="L693" s="176"/>
      <c r="M693" s="156"/>
      <c r="N693" s="244"/>
      <c r="O693" s="157"/>
      <c r="P693" s="244"/>
      <c r="Q693" s="158"/>
      <c r="R693" s="501"/>
      <c r="S693" s="159"/>
      <c r="T693" s="391"/>
      <c r="U693" s="170"/>
    </row>
    <row r="694" spans="1:21" hidden="1" outlineLevel="2">
      <c r="A694" s="162"/>
      <c r="B694" s="171"/>
      <c r="C694" s="174" t="s">
        <v>499</v>
      </c>
      <c r="D694" s="340"/>
      <c r="E694" s="164"/>
      <c r="F694" s="165"/>
      <c r="G694" s="172"/>
      <c r="H694" s="164"/>
      <c r="I694" s="164"/>
      <c r="J694" s="164"/>
      <c r="K694" s="165"/>
      <c r="L694" s="176"/>
      <c r="M694" s="156"/>
      <c r="N694" s="244"/>
      <c r="O694" s="157"/>
      <c r="P694" s="244"/>
      <c r="Q694" s="158"/>
      <c r="R694" s="501"/>
      <c r="S694" s="159"/>
      <c r="T694" s="391"/>
      <c r="U694" s="170"/>
    </row>
    <row r="695" spans="1:21" hidden="1" outlineLevel="2">
      <c r="A695" s="162"/>
      <c r="B695" s="151"/>
      <c r="C695" s="174" t="s">
        <v>995</v>
      </c>
      <c r="D695" s="345"/>
      <c r="E695" s="164"/>
      <c r="F695" s="165"/>
      <c r="G695" s="172"/>
      <c r="H695" s="164"/>
      <c r="I695" s="164"/>
      <c r="J695" s="164"/>
      <c r="K695" s="165"/>
      <c r="L695" s="176"/>
      <c r="M695" s="156"/>
      <c r="N695" s="244"/>
      <c r="O695" s="157"/>
      <c r="P695" s="244"/>
      <c r="Q695" s="158"/>
      <c r="R695" s="501"/>
      <c r="S695" s="159"/>
      <c r="T695" s="225"/>
      <c r="U695" s="170"/>
    </row>
    <row r="696" spans="1:21" hidden="1" outlineLevel="1" collapsed="1">
      <c r="A696" s="162"/>
      <c r="B696" s="151"/>
      <c r="C696" s="151" t="s">
        <v>588</v>
      </c>
      <c r="D696" s="339"/>
      <c r="E696" s="164"/>
      <c r="F696" s="165"/>
      <c r="G696" s="172"/>
      <c r="H696" s="164"/>
      <c r="I696" s="164"/>
      <c r="J696" s="164"/>
      <c r="K696" s="165"/>
      <c r="L696" s="176"/>
      <c r="M696" s="156"/>
      <c r="N696" s="244"/>
      <c r="O696" s="157"/>
      <c r="P696" s="244"/>
      <c r="Q696" s="158"/>
      <c r="R696" s="501"/>
      <c r="S696" s="159"/>
      <c r="T696" s="225"/>
      <c r="U696" s="170" t="s">
        <v>589</v>
      </c>
    </row>
    <row r="697" spans="1:21" s="210" customFormat="1" hidden="1" outlineLevel="2">
      <c r="A697" s="207"/>
      <c r="B697" s="404" t="s">
        <v>590</v>
      </c>
      <c r="C697" s="365"/>
      <c r="D697" s="544"/>
      <c r="E697" s="545"/>
      <c r="F697" s="546"/>
      <c r="G697" s="547"/>
      <c r="H697" s="545"/>
      <c r="I697" s="545"/>
      <c r="J697" s="545"/>
      <c r="K697" s="546"/>
      <c r="L697" s="548"/>
      <c r="M697" s="549"/>
      <c r="N697" s="244"/>
      <c r="O697" s="545"/>
      <c r="P697" s="244"/>
      <c r="Q697" s="546"/>
      <c r="R697" s="501"/>
      <c r="S697" s="550"/>
      <c r="T697" s="551"/>
      <c r="U697" s="552"/>
    </row>
    <row r="698" spans="1:21" hidden="1" outlineLevel="2">
      <c r="A698" s="162"/>
      <c r="B698" s="171"/>
      <c r="C698" s="151" t="s">
        <v>503</v>
      </c>
      <c r="D698" s="339"/>
      <c r="E698" s="164"/>
      <c r="F698" s="165"/>
      <c r="G698" s="172"/>
      <c r="H698" s="164"/>
      <c r="I698" s="164"/>
      <c r="J698" s="164"/>
      <c r="K698" s="165"/>
      <c r="L698" s="176"/>
      <c r="M698" s="156"/>
      <c r="N698" s="244"/>
      <c r="O698" s="157"/>
      <c r="P698" s="244"/>
      <c r="Q698" s="158"/>
      <c r="R698" s="501"/>
      <c r="S698" s="159"/>
      <c r="T698" s="391"/>
      <c r="U698" s="170"/>
    </row>
    <row r="699" spans="1:21" hidden="1" outlineLevel="2">
      <c r="A699" s="162"/>
      <c r="B699" s="171"/>
      <c r="C699" s="174" t="s">
        <v>477</v>
      </c>
      <c r="D699" s="340"/>
      <c r="E699" s="164"/>
      <c r="F699" s="165"/>
      <c r="G699" s="172"/>
      <c r="H699" s="164"/>
      <c r="I699" s="164"/>
      <c r="J699" s="164"/>
      <c r="K699" s="165"/>
      <c r="L699" s="176"/>
      <c r="M699" s="156"/>
      <c r="N699" s="244"/>
      <c r="O699" s="157"/>
      <c r="P699" s="244"/>
      <c r="Q699" s="158"/>
      <c r="R699" s="501"/>
      <c r="S699" s="159"/>
      <c r="T699" s="391"/>
      <c r="U699" s="170"/>
    </row>
    <row r="700" spans="1:21" hidden="1" outlineLevel="2">
      <c r="A700" s="162"/>
      <c r="B700" s="171"/>
      <c r="C700" s="174" t="s">
        <v>478</v>
      </c>
      <c r="D700" s="340"/>
      <c r="E700" s="164"/>
      <c r="F700" s="165"/>
      <c r="G700" s="172"/>
      <c r="H700" s="164"/>
      <c r="I700" s="164"/>
      <c r="J700" s="164"/>
      <c r="K700" s="165"/>
      <c r="L700" s="176"/>
      <c r="M700" s="156"/>
      <c r="N700" s="244"/>
      <c r="O700" s="157"/>
      <c r="P700" s="244"/>
      <c r="Q700" s="158"/>
      <c r="R700" s="501"/>
      <c r="S700" s="159"/>
      <c r="T700" s="391"/>
      <c r="U700" s="170"/>
    </row>
    <row r="701" spans="1:21" hidden="1" outlineLevel="2">
      <c r="A701" s="162"/>
      <c r="B701" s="171"/>
      <c r="C701" s="174" t="s">
        <v>479</v>
      </c>
      <c r="D701" s="340"/>
      <c r="E701" s="164"/>
      <c r="F701" s="165"/>
      <c r="G701" s="172"/>
      <c r="H701" s="164"/>
      <c r="I701" s="164"/>
      <c r="J701" s="164"/>
      <c r="K701" s="165"/>
      <c r="L701" s="176"/>
      <c r="M701" s="156"/>
      <c r="N701" s="244"/>
      <c r="O701" s="157"/>
      <c r="P701" s="244"/>
      <c r="Q701" s="158"/>
      <c r="R701" s="501"/>
      <c r="S701" s="159"/>
      <c r="T701" s="391"/>
      <c r="U701" s="170"/>
    </row>
    <row r="702" spans="1:21" hidden="1" outlineLevel="2">
      <c r="A702" s="162"/>
      <c r="B702" s="171"/>
      <c r="C702" s="174" t="s">
        <v>480</v>
      </c>
      <c r="D702" s="340"/>
      <c r="E702" s="164"/>
      <c r="F702" s="165"/>
      <c r="G702" s="172"/>
      <c r="H702" s="164"/>
      <c r="I702" s="164"/>
      <c r="J702" s="164"/>
      <c r="K702" s="165"/>
      <c r="L702" s="176"/>
      <c r="M702" s="156"/>
      <c r="N702" s="244"/>
      <c r="O702" s="157"/>
      <c r="P702" s="244"/>
      <c r="Q702" s="158"/>
      <c r="R702" s="501"/>
      <c r="S702" s="159"/>
      <c r="T702" s="391"/>
      <c r="U702" s="170"/>
    </row>
    <row r="703" spans="1:21" hidden="1" outlineLevel="2">
      <c r="A703" s="162"/>
      <c r="B703" s="171"/>
      <c r="C703" s="174" t="s">
        <v>481</v>
      </c>
      <c r="D703" s="340"/>
      <c r="E703" s="164"/>
      <c r="F703" s="165"/>
      <c r="G703" s="172"/>
      <c r="H703" s="164"/>
      <c r="I703" s="164"/>
      <c r="J703" s="164"/>
      <c r="K703" s="165"/>
      <c r="L703" s="176"/>
      <c r="M703" s="156"/>
      <c r="N703" s="244"/>
      <c r="O703" s="157"/>
      <c r="P703" s="244"/>
      <c r="Q703" s="158"/>
      <c r="R703" s="501"/>
      <c r="S703" s="159"/>
      <c r="T703" s="391"/>
      <c r="U703" s="170"/>
    </row>
    <row r="704" spans="1:21" hidden="1" outlineLevel="2">
      <c r="A704" s="162"/>
      <c r="B704" s="171"/>
      <c r="C704" s="151" t="s">
        <v>504</v>
      </c>
      <c r="D704" s="339"/>
      <c r="E704" s="164"/>
      <c r="F704" s="165"/>
      <c r="G704" s="172"/>
      <c r="H704" s="164"/>
      <c r="I704" s="164"/>
      <c r="J704" s="164"/>
      <c r="K704" s="165"/>
      <c r="L704" s="176"/>
      <c r="M704" s="156"/>
      <c r="N704" s="244"/>
      <c r="O704" s="157"/>
      <c r="P704" s="244"/>
      <c r="Q704" s="158"/>
      <c r="R704" s="501"/>
      <c r="S704" s="159"/>
      <c r="T704" s="391"/>
      <c r="U704" s="170"/>
    </row>
    <row r="705" spans="1:21" hidden="1" outlineLevel="2">
      <c r="A705" s="162"/>
      <c r="B705" s="171"/>
      <c r="C705" s="174" t="s">
        <v>483</v>
      </c>
      <c r="D705" s="340"/>
      <c r="E705" s="164"/>
      <c r="F705" s="165"/>
      <c r="G705" s="172"/>
      <c r="H705" s="164"/>
      <c r="I705" s="164"/>
      <c r="J705" s="164"/>
      <c r="K705" s="165"/>
      <c r="L705" s="176"/>
      <c r="M705" s="156"/>
      <c r="N705" s="244"/>
      <c r="O705" s="157"/>
      <c r="P705" s="244"/>
      <c r="Q705" s="158"/>
      <c r="R705" s="501"/>
      <c r="S705" s="159"/>
      <c r="T705" s="391"/>
      <c r="U705" s="175"/>
    </row>
    <row r="706" spans="1:21" hidden="1" outlineLevel="2">
      <c r="A706" s="162"/>
      <c r="B706" s="171"/>
      <c r="C706" s="174" t="s">
        <v>484</v>
      </c>
      <c r="D706" s="340"/>
      <c r="E706" s="164"/>
      <c r="F706" s="165"/>
      <c r="G706" s="172"/>
      <c r="H706" s="164"/>
      <c r="I706" s="164"/>
      <c r="J706" s="164"/>
      <c r="K706" s="165"/>
      <c r="L706" s="176"/>
      <c r="M706" s="156"/>
      <c r="N706" s="244"/>
      <c r="O706" s="157"/>
      <c r="P706" s="244"/>
      <c r="Q706" s="158"/>
      <c r="R706" s="501"/>
      <c r="S706" s="159"/>
      <c r="T706" s="391"/>
      <c r="U706" s="170"/>
    </row>
    <row r="707" spans="1:21" hidden="1" outlineLevel="2">
      <c r="A707" s="162"/>
      <c r="B707" s="171"/>
      <c r="C707" s="174" t="s">
        <v>479</v>
      </c>
      <c r="D707" s="340"/>
      <c r="E707" s="164"/>
      <c r="F707" s="165"/>
      <c r="G707" s="172"/>
      <c r="H707" s="164"/>
      <c r="I707" s="164"/>
      <c r="J707" s="164"/>
      <c r="K707" s="165"/>
      <c r="L707" s="176"/>
      <c r="M707" s="156"/>
      <c r="N707" s="244"/>
      <c r="O707" s="157"/>
      <c r="P707" s="244"/>
      <c r="Q707" s="158"/>
      <c r="R707" s="501"/>
      <c r="S707" s="159"/>
      <c r="T707" s="391"/>
      <c r="U707" s="170"/>
    </row>
    <row r="708" spans="1:21" hidden="1" outlineLevel="2">
      <c r="A708" s="162"/>
      <c r="B708" s="171"/>
      <c r="C708" s="174" t="s">
        <v>485</v>
      </c>
      <c r="D708" s="340"/>
      <c r="E708" s="164"/>
      <c r="F708" s="165"/>
      <c r="G708" s="172"/>
      <c r="H708" s="164"/>
      <c r="I708" s="164"/>
      <c r="J708" s="164"/>
      <c r="K708" s="165"/>
      <c r="L708" s="176"/>
      <c r="M708" s="156"/>
      <c r="N708" s="244"/>
      <c r="O708" s="157"/>
      <c r="P708" s="244"/>
      <c r="Q708" s="158"/>
      <c r="R708" s="501"/>
      <c r="S708" s="159"/>
      <c r="T708" s="391"/>
      <c r="U708" s="170"/>
    </row>
    <row r="709" spans="1:21" hidden="1" outlineLevel="2">
      <c r="A709" s="162"/>
      <c r="B709" s="171"/>
      <c r="C709" s="151" t="s">
        <v>505</v>
      </c>
      <c r="D709" s="339"/>
      <c r="E709" s="164"/>
      <c r="F709" s="165"/>
      <c r="G709" s="172"/>
      <c r="H709" s="164"/>
      <c r="I709" s="164"/>
      <c r="J709" s="164"/>
      <c r="K709" s="165"/>
      <c r="L709" s="176"/>
      <c r="M709" s="156"/>
      <c r="N709" s="244"/>
      <c r="O709" s="157"/>
      <c r="P709" s="244"/>
      <c r="Q709" s="158"/>
      <c r="R709" s="501"/>
      <c r="S709" s="159"/>
      <c r="T709" s="391"/>
      <c r="U709" s="170"/>
    </row>
    <row r="710" spans="1:21" hidden="1" outlineLevel="2">
      <c r="A710" s="162"/>
      <c r="B710" s="171"/>
      <c r="C710" s="174" t="s">
        <v>487</v>
      </c>
      <c r="D710" s="340"/>
      <c r="E710" s="164"/>
      <c r="F710" s="165"/>
      <c r="G710" s="172"/>
      <c r="H710" s="164"/>
      <c r="I710" s="164"/>
      <c r="J710" s="164"/>
      <c r="K710" s="165"/>
      <c r="L710" s="176"/>
      <c r="M710" s="156"/>
      <c r="N710" s="244"/>
      <c r="O710" s="157"/>
      <c r="P710" s="244"/>
      <c r="Q710" s="158"/>
      <c r="R710" s="501"/>
      <c r="S710" s="159"/>
      <c r="T710" s="391"/>
      <c r="U710" s="170"/>
    </row>
    <row r="711" spans="1:21" hidden="1" outlineLevel="2">
      <c r="A711" s="162"/>
      <c r="B711" s="171"/>
      <c r="C711" s="174" t="s">
        <v>479</v>
      </c>
      <c r="D711" s="340"/>
      <c r="E711" s="164"/>
      <c r="F711" s="165"/>
      <c r="G711" s="172"/>
      <c r="H711" s="164"/>
      <c r="I711" s="164"/>
      <c r="J711" s="164"/>
      <c r="K711" s="165"/>
      <c r="L711" s="176"/>
      <c r="M711" s="156"/>
      <c r="N711" s="244"/>
      <c r="O711" s="157"/>
      <c r="P711" s="244"/>
      <c r="Q711" s="158"/>
      <c r="R711" s="501"/>
      <c r="S711" s="159"/>
      <c r="T711" s="391"/>
      <c r="U711" s="170"/>
    </row>
    <row r="712" spans="1:21" hidden="1" outlineLevel="2">
      <c r="A712" s="162"/>
      <c r="B712" s="171"/>
      <c r="C712" s="174" t="s">
        <v>488</v>
      </c>
      <c r="D712" s="340"/>
      <c r="E712" s="164"/>
      <c r="F712" s="165"/>
      <c r="G712" s="172"/>
      <c r="H712" s="164"/>
      <c r="I712" s="164"/>
      <c r="J712" s="164"/>
      <c r="K712" s="165"/>
      <c r="L712" s="176"/>
      <c r="M712" s="156"/>
      <c r="N712" s="244"/>
      <c r="O712" s="157"/>
      <c r="P712" s="244"/>
      <c r="Q712" s="158"/>
      <c r="R712" s="501"/>
      <c r="S712" s="159"/>
      <c r="T712" s="391"/>
      <c r="U712" s="170"/>
    </row>
    <row r="713" spans="1:21" hidden="1" outlineLevel="2">
      <c r="A713" s="162"/>
      <c r="B713" s="171"/>
      <c r="C713" s="174" t="s">
        <v>489</v>
      </c>
      <c r="D713" s="340"/>
      <c r="E713" s="164"/>
      <c r="F713" s="165"/>
      <c r="G713" s="172"/>
      <c r="H713" s="164"/>
      <c r="I713" s="164"/>
      <c r="J713" s="164"/>
      <c r="K713" s="165"/>
      <c r="L713" s="176"/>
      <c r="M713" s="156"/>
      <c r="N713" s="244"/>
      <c r="O713" s="157"/>
      <c r="P713" s="244"/>
      <c r="Q713" s="158"/>
      <c r="R713" s="501"/>
      <c r="S713" s="159"/>
      <c r="T713" s="391"/>
      <c r="U713" s="170"/>
    </row>
    <row r="714" spans="1:21" hidden="1" outlineLevel="2">
      <c r="A714" s="162"/>
      <c r="B714" s="171"/>
      <c r="C714" s="151" t="s">
        <v>506</v>
      </c>
      <c r="D714" s="339"/>
      <c r="E714" s="164"/>
      <c r="F714" s="165"/>
      <c r="G714" s="172"/>
      <c r="H714" s="164"/>
      <c r="I714" s="164"/>
      <c r="J714" s="164"/>
      <c r="K714" s="165"/>
      <c r="L714" s="176"/>
      <c r="M714" s="156"/>
      <c r="N714" s="244"/>
      <c r="O714" s="157"/>
      <c r="P714" s="244"/>
      <c r="Q714" s="158"/>
      <c r="R714" s="501"/>
      <c r="S714" s="159"/>
      <c r="T714" s="391"/>
      <c r="U714" s="170"/>
    </row>
    <row r="715" spans="1:21" hidden="1" outlineLevel="2">
      <c r="A715" s="162"/>
      <c r="B715" s="171"/>
      <c r="C715" s="174" t="s">
        <v>491</v>
      </c>
      <c r="D715" s="340"/>
      <c r="E715" s="164"/>
      <c r="F715" s="165"/>
      <c r="G715" s="172"/>
      <c r="H715" s="164"/>
      <c r="I715" s="164"/>
      <c r="J715" s="164"/>
      <c r="K715" s="165"/>
      <c r="L715" s="176"/>
      <c r="M715" s="156"/>
      <c r="N715" s="244"/>
      <c r="O715" s="157"/>
      <c r="P715" s="244"/>
      <c r="Q715" s="158"/>
      <c r="R715" s="501"/>
      <c r="S715" s="159"/>
      <c r="T715" s="391"/>
      <c r="U715" s="170"/>
    </row>
    <row r="716" spans="1:21" hidden="1" outlineLevel="2">
      <c r="A716" s="162"/>
      <c r="B716" s="171"/>
      <c r="C716" s="174" t="s">
        <v>492</v>
      </c>
      <c r="D716" s="340"/>
      <c r="E716" s="164"/>
      <c r="F716" s="165"/>
      <c r="G716" s="172"/>
      <c r="H716" s="164"/>
      <c r="I716" s="164"/>
      <c r="J716" s="164"/>
      <c r="K716" s="165"/>
      <c r="L716" s="176"/>
      <c r="M716" s="156"/>
      <c r="N716" s="244"/>
      <c r="O716" s="157"/>
      <c r="P716" s="244"/>
      <c r="Q716" s="158"/>
      <c r="R716" s="501"/>
      <c r="S716" s="159"/>
      <c r="T716" s="391"/>
      <c r="U716" s="170"/>
    </row>
    <row r="717" spans="1:21" hidden="1" outlineLevel="2">
      <c r="A717" s="162"/>
      <c r="B717" s="171"/>
      <c r="C717" s="174" t="s">
        <v>493</v>
      </c>
      <c r="D717" s="340"/>
      <c r="E717" s="164"/>
      <c r="F717" s="165"/>
      <c r="G717" s="172"/>
      <c r="H717" s="164"/>
      <c r="I717" s="164"/>
      <c r="J717" s="164"/>
      <c r="K717" s="165"/>
      <c r="L717" s="176"/>
      <c r="M717" s="156"/>
      <c r="N717" s="244"/>
      <c r="O717" s="157"/>
      <c r="P717" s="244"/>
      <c r="Q717" s="158"/>
      <c r="R717" s="501"/>
      <c r="S717" s="159"/>
      <c r="T717" s="391"/>
      <c r="U717" s="170"/>
    </row>
    <row r="718" spans="1:21" hidden="1" outlineLevel="2">
      <c r="A718" s="162"/>
      <c r="B718" s="171"/>
      <c r="C718" s="174" t="s">
        <v>494</v>
      </c>
      <c r="D718" s="340"/>
      <c r="E718" s="164"/>
      <c r="F718" s="165"/>
      <c r="G718" s="172"/>
      <c r="H718" s="164"/>
      <c r="I718" s="164"/>
      <c r="J718" s="164"/>
      <c r="K718" s="165"/>
      <c r="L718" s="176"/>
      <c r="M718" s="156"/>
      <c r="N718" s="244"/>
      <c r="O718" s="157"/>
      <c r="P718" s="244"/>
      <c r="Q718" s="158"/>
      <c r="R718" s="501"/>
      <c r="S718" s="159"/>
      <c r="T718" s="391"/>
      <c r="U718" s="170"/>
    </row>
    <row r="719" spans="1:21" hidden="1" outlineLevel="2">
      <c r="A719" s="162"/>
      <c r="B719" s="171"/>
      <c r="C719" s="151" t="s">
        <v>507</v>
      </c>
      <c r="D719" s="339"/>
      <c r="E719" s="164"/>
      <c r="F719" s="165"/>
      <c r="G719" s="172"/>
      <c r="H719" s="164"/>
      <c r="I719" s="164"/>
      <c r="J719" s="164"/>
      <c r="K719" s="165"/>
      <c r="L719" s="176"/>
      <c r="M719" s="156"/>
      <c r="N719" s="244"/>
      <c r="O719" s="157"/>
      <c r="P719" s="244"/>
      <c r="Q719" s="158"/>
      <c r="R719" s="501"/>
      <c r="S719" s="159"/>
      <c r="T719" s="391"/>
      <c r="U719" s="170"/>
    </row>
    <row r="720" spans="1:21" hidden="1" outlineLevel="2">
      <c r="A720" s="162"/>
      <c r="B720" s="171"/>
      <c r="C720" s="174" t="s">
        <v>496</v>
      </c>
      <c r="D720" s="340"/>
      <c r="E720" s="164"/>
      <c r="F720" s="165"/>
      <c r="G720" s="172"/>
      <c r="H720" s="164"/>
      <c r="I720" s="164"/>
      <c r="J720" s="164"/>
      <c r="K720" s="165"/>
      <c r="L720" s="176"/>
      <c r="M720" s="156"/>
      <c r="N720" s="244"/>
      <c r="O720" s="157"/>
      <c r="P720" s="244"/>
      <c r="Q720" s="158"/>
      <c r="R720" s="501"/>
      <c r="S720" s="159"/>
      <c r="T720" s="391"/>
      <c r="U720" s="170"/>
    </row>
    <row r="721" spans="1:21" hidden="1" outlineLevel="2">
      <c r="A721" s="162"/>
      <c r="B721" s="171"/>
      <c r="C721" s="174" t="s">
        <v>497</v>
      </c>
      <c r="D721" s="340"/>
      <c r="E721" s="164"/>
      <c r="F721" s="165"/>
      <c r="G721" s="172"/>
      <c r="H721" s="164"/>
      <c r="I721" s="164"/>
      <c r="J721" s="164"/>
      <c r="K721" s="165"/>
      <c r="L721" s="176"/>
      <c r="M721" s="156"/>
      <c r="N721" s="244"/>
      <c r="O721" s="157"/>
      <c r="P721" s="244"/>
      <c r="Q721" s="158"/>
      <c r="R721" s="501"/>
      <c r="S721" s="159"/>
      <c r="T721" s="391"/>
      <c r="U721" s="170"/>
    </row>
    <row r="722" spans="1:21" hidden="1" outlineLevel="2">
      <c r="A722" s="162"/>
      <c r="B722" s="171"/>
      <c r="C722" s="174" t="s">
        <v>499</v>
      </c>
      <c r="D722" s="340"/>
      <c r="E722" s="164"/>
      <c r="F722" s="165"/>
      <c r="G722" s="172"/>
      <c r="H722" s="164"/>
      <c r="I722" s="164"/>
      <c r="J722" s="164"/>
      <c r="K722" s="165"/>
      <c r="L722" s="176"/>
      <c r="M722" s="156"/>
      <c r="N722" s="244"/>
      <c r="O722" s="157"/>
      <c r="P722" s="244"/>
      <c r="Q722" s="158"/>
      <c r="R722" s="501"/>
      <c r="S722" s="159"/>
      <c r="T722" s="391"/>
      <c r="U722" s="170"/>
    </row>
    <row r="723" spans="1:21" hidden="1" outlineLevel="2">
      <c r="A723" s="162"/>
      <c r="B723" s="151"/>
      <c r="C723" s="174" t="s">
        <v>995</v>
      </c>
      <c r="D723" s="345"/>
      <c r="E723" s="164"/>
      <c r="F723" s="165"/>
      <c r="G723" s="172"/>
      <c r="H723" s="164"/>
      <c r="I723" s="164"/>
      <c r="J723" s="164"/>
      <c r="K723" s="165"/>
      <c r="L723" s="176"/>
      <c r="M723" s="156"/>
      <c r="N723" s="244"/>
      <c r="O723" s="157"/>
      <c r="P723" s="244"/>
      <c r="Q723" s="158"/>
      <c r="R723" s="501"/>
      <c r="S723" s="159"/>
      <c r="T723" s="225"/>
      <c r="U723" s="170"/>
    </row>
    <row r="724" spans="1:21" hidden="1" outlineLevel="1" collapsed="1">
      <c r="A724" s="162"/>
      <c r="B724" s="365"/>
      <c r="C724" s="404" t="s">
        <v>590</v>
      </c>
      <c r="D724" s="553"/>
      <c r="E724" s="164"/>
      <c r="F724" s="165"/>
      <c r="G724" s="172"/>
      <c r="H724" s="164"/>
      <c r="I724" s="164"/>
      <c r="J724" s="164"/>
      <c r="K724" s="165"/>
      <c r="L724" s="176"/>
      <c r="M724" s="156"/>
      <c r="N724" s="244"/>
      <c r="O724" s="157"/>
      <c r="P724" s="244"/>
      <c r="Q724" s="158"/>
      <c r="R724" s="501"/>
      <c r="S724" s="159"/>
      <c r="T724" s="225"/>
      <c r="U724" s="390" t="s">
        <v>1155</v>
      </c>
    </row>
    <row r="725" spans="1:21" hidden="1" outlineLevel="1">
      <c r="A725" s="162"/>
      <c r="B725" s="365"/>
      <c r="C725" s="404" t="s">
        <v>1140</v>
      </c>
      <c r="D725" s="553"/>
      <c r="E725" s="164"/>
      <c r="F725" s="165"/>
      <c r="G725" s="249" t="e">
        <f>CIP!#REF!</f>
        <v>#REF!</v>
      </c>
      <c r="H725" s="250" t="e">
        <f>CIP!#REF!</f>
        <v>#REF!</v>
      </c>
      <c r="I725" s="250" t="e">
        <f>CIP!#REF!</f>
        <v>#REF!</v>
      </c>
      <c r="J725" s="250" t="e">
        <f>CIP!#REF!</f>
        <v>#REF!</v>
      </c>
      <c r="K725" s="403" t="e">
        <f>CIP!#REF!</f>
        <v>#REF!</v>
      </c>
      <c r="L725" s="159" t="e">
        <f>SUM(G725:K725)</f>
        <v>#REF!</v>
      </c>
      <c r="M725" s="156">
        <v>500000</v>
      </c>
      <c r="N725" s="244">
        <f>M725*1.23</f>
        <v>615000</v>
      </c>
      <c r="O725" s="156">
        <v>500000</v>
      </c>
      <c r="P725" s="248">
        <f>O725*1.46</f>
        <v>730000</v>
      </c>
      <c r="Q725" s="156">
        <v>500000</v>
      </c>
      <c r="R725" s="403">
        <f>Q725*1.73</f>
        <v>865000</v>
      </c>
      <c r="S725" s="159" t="e">
        <f t="shared" ref="S725:S726" si="33">SUM(L725,N725,P725,R725)</f>
        <v>#REF!</v>
      </c>
      <c r="T725" s="225"/>
      <c r="U725" s="554"/>
    </row>
    <row r="726" spans="1:21" ht="16.5" customHeight="1" collapsed="1">
      <c r="A726" s="231"/>
      <c r="B726" s="163"/>
      <c r="C726" s="198" t="s">
        <v>591</v>
      </c>
      <c r="D726" s="351"/>
      <c r="E726" s="164"/>
      <c r="F726" s="165"/>
      <c r="G726" s="249" t="e">
        <f>SUM(G33,G61,G90,G119,G147,G177,G205,G234,G262,G292,G321,G349,G377,G406,G434,G463,G494,G523,G553,G583,G612,G640,G668,G696,G724,G725)</f>
        <v>#REF!</v>
      </c>
      <c r="H726" s="244" t="e">
        <f>SUM(H33,H61,H90,H119,H147,H177,H205,H234,H262,H292,H321,H349,H377,H406,H434,H463,H494,H523,H553,H583,H612,H640,H668,H696,H724,H725)</f>
        <v>#REF!</v>
      </c>
      <c r="I726" s="244" t="e">
        <f>SUM(I33,I61,I90,I119,I147,I177,I205,I234,I262,I292,I321,I349,I377,I406,I434,I463,I494,I523,I553,I583,I612,I640,I668,I696,I724,I725)</f>
        <v>#REF!</v>
      </c>
      <c r="J726" s="244" t="e">
        <f>SUM(J33,J61,J90,J119,J147,J177,J205,J234,J262,J292,J321,J349,J377,J406,J434,J463,J494,J523,J553,J583,J612,J640,J668,J696,J724,J725)</f>
        <v>#REF!</v>
      </c>
      <c r="K726" s="255" t="e">
        <f>SUM(K33,K61,K90,K119,K147,K177,K205,K234,K262,K292,K321,K349,K377,K406,K434,K463,K494,K523,K553,K583,K612,K640,K668,K696,K724,K725)</f>
        <v>#REF!</v>
      </c>
      <c r="L726" s="159" t="e">
        <f>SUM(G726:K726)</f>
        <v>#REF!</v>
      </c>
      <c r="M726" s="311">
        <f>SUM(M33,M61,M90,M119,M147,M177,M205,M234,M262,M292,M321,M349,M377,M406,M434,M463,M494,M523,M553,M583,M612,M640,M668,M696,M724,M725)</f>
        <v>109245000</v>
      </c>
      <c r="N726" s="244">
        <f>M726*1.23</f>
        <v>134371350</v>
      </c>
      <c r="O726" s="311">
        <f>SUM(O33,O61,O90,O119,O147,O177,O205,O234,O262,O292,O321,O349,O377,O406,O434,O463,O494,O523,O553,O583,O612,O640,O668,O696,O724,O725)</f>
        <v>89375000</v>
      </c>
      <c r="P726" s="248">
        <f>O726*1.46</f>
        <v>130487500</v>
      </c>
      <c r="Q726" s="311">
        <f>SUM(Q33,Q61,Q90,Q119,Q147,Q177,Q205,Q234,Q262,Q292,Q321,Q349,Q377,Q406,Q434,Q463,Q494,Q523,Q553,Q583,Q612,Q640,Q668,Q696,Q724,Q725)</f>
        <v>77700000</v>
      </c>
      <c r="R726" s="255">
        <f>Q726*1.73</f>
        <v>134421000</v>
      </c>
      <c r="S726" s="159" t="e">
        <f t="shared" si="33"/>
        <v>#REF!</v>
      </c>
      <c r="T726" s="225"/>
      <c r="U726" s="263"/>
    </row>
    <row r="727" spans="1:21" hidden="1" outlineLevel="1">
      <c r="A727" s="229"/>
      <c r="B727" s="151" t="s">
        <v>592</v>
      </c>
      <c r="C727" s="171"/>
      <c r="D727" s="343"/>
      <c r="E727" s="164"/>
      <c r="F727" s="165"/>
      <c r="G727" s="172"/>
      <c r="H727" s="164"/>
      <c r="I727" s="164"/>
      <c r="J727" s="164"/>
      <c r="K727" s="223"/>
      <c r="L727" s="155"/>
      <c r="M727" s="156"/>
      <c r="N727" s="250"/>
      <c r="O727" s="157"/>
      <c r="P727" s="248"/>
      <c r="Q727" s="158"/>
      <c r="R727" s="255"/>
      <c r="S727" s="159"/>
      <c r="T727" s="225"/>
      <c r="U727" s="161"/>
    </row>
    <row r="728" spans="1:21" hidden="1" outlineLevel="2">
      <c r="A728" s="231"/>
      <c r="B728" s="151" t="s">
        <v>674</v>
      </c>
      <c r="C728" s="163"/>
      <c r="D728" s="338"/>
      <c r="E728" s="164"/>
      <c r="F728" s="165"/>
      <c r="G728" s="172"/>
      <c r="H728" s="164"/>
      <c r="I728" s="164"/>
      <c r="J728" s="164"/>
      <c r="K728" s="223"/>
      <c r="L728" s="176"/>
      <c r="M728" s="156"/>
      <c r="N728" s="250"/>
      <c r="O728" s="157"/>
      <c r="P728" s="248"/>
      <c r="Q728" s="158"/>
      <c r="R728" s="255"/>
      <c r="S728" s="159"/>
      <c r="T728" s="225"/>
      <c r="U728" s="170"/>
    </row>
    <row r="729" spans="1:21" s="233" customFormat="1" hidden="1" outlineLevel="3">
      <c r="A729" s="232"/>
      <c r="B729" s="151" t="s">
        <v>675</v>
      </c>
      <c r="C729" s="171"/>
      <c r="D729" s="343"/>
      <c r="E729" s="157"/>
      <c r="F729" s="158"/>
      <c r="G729" s="197"/>
      <c r="H729" s="157"/>
      <c r="I729" s="157"/>
      <c r="J729" s="157"/>
      <c r="K729" s="215"/>
      <c r="L729" s="155"/>
      <c r="M729" s="156"/>
      <c r="N729" s="250"/>
      <c r="O729" s="157"/>
      <c r="P729" s="248"/>
      <c r="Q729" s="158"/>
      <c r="R729" s="255"/>
      <c r="S729" s="159"/>
      <c r="T729" s="225"/>
      <c r="U729" s="170"/>
    </row>
    <row r="730" spans="1:21" ht="15.75" hidden="1" outlineLevel="3">
      <c r="A730" s="162"/>
      <c r="B730" s="152"/>
      <c r="C730" s="151" t="s">
        <v>503</v>
      </c>
      <c r="D730" s="339"/>
      <c r="E730" s="164"/>
      <c r="F730" s="165"/>
      <c r="G730" s="172"/>
      <c r="H730" s="164"/>
      <c r="I730" s="164"/>
      <c r="J730" s="164"/>
      <c r="K730" s="223"/>
      <c r="L730" s="234"/>
      <c r="M730" s="202"/>
      <c r="N730" s="250"/>
      <c r="O730" s="203"/>
      <c r="P730" s="248"/>
      <c r="Q730" s="201"/>
      <c r="R730" s="255"/>
      <c r="S730" s="226"/>
      <c r="T730" s="235"/>
      <c r="U730" s="170"/>
    </row>
    <row r="731" spans="1:21" ht="15.75" hidden="1" outlineLevel="3">
      <c r="A731" s="162"/>
      <c r="B731" s="152"/>
      <c r="C731" s="236" t="s">
        <v>520</v>
      </c>
      <c r="D731" s="344"/>
      <c r="E731" s="164"/>
      <c r="F731" s="165"/>
      <c r="G731" s="172"/>
      <c r="H731" s="164"/>
      <c r="I731" s="164"/>
      <c r="J731" s="164"/>
      <c r="K731" s="223"/>
      <c r="L731" s="234"/>
      <c r="M731" s="202"/>
      <c r="N731" s="250"/>
      <c r="O731" s="203"/>
      <c r="P731" s="248"/>
      <c r="Q731" s="201"/>
      <c r="R731" s="255"/>
      <c r="S731" s="226"/>
      <c r="T731" s="235"/>
      <c r="U731" s="170"/>
    </row>
    <row r="732" spans="1:21" ht="15.75" hidden="1" outlineLevel="3">
      <c r="A732" s="162"/>
      <c r="B732" s="152"/>
      <c r="C732" s="236" t="s">
        <v>478</v>
      </c>
      <c r="D732" s="344"/>
      <c r="E732" s="164"/>
      <c r="F732" s="165"/>
      <c r="G732" s="172"/>
      <c r="H732" s="164"/>
      <c r="I732" s="164"/>
      <c r="J732" s="164"/>
      <c r="K732" s="223"/>
      <c r="L732" s="234"/>
      <c r="M732" s="202"/>
      <c r="N732" s="250"/>
      <c r="O732" s="203"/>
      <c r="P732" s="248"/>
      <c r="Q732" s="201"/>
      <c r="R732" s="255"/>
      <c r="S732" s="226"/>
      <c r="T732" s="235"/>
      <c r="U732" s="170"/>
    </row>
    <row r="733" spans="1:21" ht="15.75" hidden="1" outlineLevel="3">
      <c r="A733" s="162"/>
      <c r="B733" s="152"/>
      <c r="C733" s="236" t="s">
        <v>479</v>
      </c>
      <c r="D733" s="344"/>
      <c r="E733" s="164"/>
      <c r="F733" s="165"/>
      <c r="G733" s="172"/>
      <c r="H733" s="164"/>
      <c r="I733" s="164">
        <f>CIP!$AT$80</f>
        <v>0</v>
      </c>
      <c r="J733" s="164">
        <f>CIP!$AU$80</f>
        <v>0</v>
      </c>
      <c r="K733" s="223"/>
      <c r="L733" s="220">
        <f>SUM(G733:K733)</f>
        <v>0</v>
      </c>
      <c r="M733" s="204"/>
      <c r="N733" s="250"/>
      <c r="O733" s="203"/>
      <c r="P733" s="248"/>
      <c r="Q733" s="201"/>
      <c r="R733" s="255"/>
      <c r="S733" s="159">
        <f t="shared" ref="S733:S758" si="34">SUM(L733,N733,P733,R733)</f>
        <v>0</v>
      </c>
      <c r="T733" s="235"/>
      <c r="U733" s="170"/>
    </row>
    <row r="734" spans="1:21" ht="15.75" hidden="1" outlineLevel="3">
      <c r="A734" s="162"/>
      <c r="B734" s="152"/>
      <c r="C734" s="236" t="s">
        <v>480</v>
      </c>
      <c r="D734" s="344"/>
      <c r="E734" s="164"/>
      <c r="F734" s="165"/>
      <c r="G734" s="172"/>
      <c r="H734" s="164"/>
      <c r="I734" s="164"/>
      <c r="J734" s="164"/>
      <c r="K734" s="223"/>
      <c r="L734" s="234"/>
      <c r="M734" s="202"/>
      <c r="N734" s="250"/>
      <c r="O734" s="203"/>
      <c r="P734" s="248"/>
      <c r="Q734" s="201"/>
      <c r="R734" s="255"/>
      <c r="S734" s="159"/>
      <c r="T734" s="235"/>
      <c r="U734" s="170"/>
    </row>
    <row r="735" spans="1:21" ht="15.75" hidden="1" outlineLevel="3">
      <c r="A735" s="162"/>
      <c r="B735" s="152"/>
      <c r="C735" s="236" t="s">
        <v>512</v>
      </c>
      <c r="D735" s="344"/>
      <c r="E735" s="164"/>
      <c r="F735" s="165"/>
      <c r="G735" s="172"/>
      <c r="H735" s="164"/>
      <c r="I735" s="164"/>
      <c r="J735" s="164"/>
      <c r="K735" s="223"/>
      <c r="L735" s="234"/>
      <c r="M735" s="202"/>
      <c r="N735" s="250"/>
      <c r="O735" s="203"/>
      <c r="P735" s="248"/>
      <c r="Q735" s="201"/>
      <c r="R735" s="255"/>
      <c r="S735" s="159"/>
      <c r="T735" s="235"/>
      <c r="U735" s="170"/>
    </row>
    <row r="736" spans="1:21" ht="15.75" hidden="1" outlineLevel="3">
      <c r="A736" s="162"/>
      <c r="B736" s="152"/>
      <c r="C736" s="151" t="s">
        <v>504</v>
      </c>
      <c r="D736" s="339"/>
      <c r="E736" s="164"/>
      <c r="F736" s="165"/>
      <c r="G736" s="172"/>
      <c r="H736" s="164"/>
      <c r="I736" s="164"/>
      <c r="J736" s="164"/>
      <c r="K736" s="223"/>
      <c r="L736" s="234"/>
      <c r="M736" s="202"/>
      <c r="N736" s="250"/>
      <c r="O736" s="203"/>
      <c r="P736" s="248"/>
      <c r="Q736" s="201"/>
      <c r="R736" s="255"/>
      <c r="S736" s="159"/>
      <c r="T736" s="235"/>
      <c r="U736" s="170"/>
    </row>
    <row r="737" spans="1:21" ht="15.75" hidden="1" outlineLevel="3">
      <c r="A737" s="162"/>
      <c r="B737" s="152"/>
      <c r="C737" s="236" t="s">
        <v>483</v>
      </c>
      <c r="D737" s="344"/>
      <c r="E737" s="164"/>
      <c r="F737" s="165"/>
      <c r="G737" s="172"/>
      <c r="H737" s="164"/>
      <c r="I737" s="164"/>
      <c r="J737" s="164"/>
      <c r="K737" s="223"/>
      <c r="L737" s="234"/>
      <c r="M737" s="202">
        <v>225000</v>
      </c>
      <c r="N737" s="250">
        <f>M737*1.23</f>
        <v>276750</v>
      </c>
      <c r="O737" s="203"/>
      <c r="P737" s="248"/>
      <c r="Q737" s="201"/>
      <c r="R737" s="255"/>
      <c r="S737" s="159">
        <f t="shared" si="34"/>
        <v>276750</v>
      </c>
      <c r="T737" s="235"/>
      <c r="U737" s="170"/>
    </row>
    <row r="738" spans="1:21" ht="15.75" hidden="1" outlineLevel="3">
      <c r="A738" s="162"/>
      <c r="B738" s="152"/>
      <c r="C738" s="236" t="s">
        <v>484</v>
      </c>
      <c r="D738" s="344"/>
      <c r="E738" s="164"/>
      <c r="F738" s="165"/>
      <c r="G738" s="172"/>
      <c r="H738" s="164"/>
      <c r="I738" s="164"/>
      <c r="J738" s="164"/>
      <c r="K738" s="223"/>
      <c r="L738" s="234"/>
      <c r="M738" s="202"/>
      <c r="N738" s="250"/>
      <c r="O738" s="203"/>
      <c r="P738" s="248"/>
      <c r="Q738" s="201"/>
      <c r="R738" s="255"/>
      <c r="S738" s="159"/>
      <c r="T738" s="235"/>
      <c r="U738" s="170"/>
    </row>
    <row r="739" spans="1:21" ht="15.75" hidden="1" outlineLevel="3">
      <c r="A739" s="162"/>
      <c r="B739" s="152"/>
      <c r="C739" s="236" t="s">
        <v>479</v>
      </c>
      <c r="D739" s="344"/>
      <c r="E739" s="164"/>
      <c r="F739" s="165"/>
      <c r="G739" s="172"/>
      <c r="H739" s="164"/>
      <c r="I739" s="164"/>
      <c r="J739" s="164"/>
      <c r="K739" s="223"/>
      <c r="L739" s="234"/>
      <c r="M739" s="202">
        <v>130000</v>
      </c>
      <c r="N739" s="250">
        <f t="shared" ref="N739:N758" si="35">M739*1.23</f>
        <v>159900</v>
      </c>
      <c r="O739" s="203"/>
      <c r="P739" s="248"/>
      <c r="Q739" s="201"/>
      <c r="R739" s="255"/>
      <c r="S739" s="159">
        <f t="shared" si="34"/>
        <v>159900</v>
      </c>
      <c r="T739" s="235"/>
      <c r="U739" s="170"/>
    </row>
    <row r="740" spans="1:21" ht="15.75" hidden="1" outlineLevel="3">
      <c r="A740" s="162"/>
      <c r="B740" s="152"/>
      <c r="C740" s="236" t="s">
        <v>485</v>
      </c>
      <c r="D740" s="344"/>
      <c r="E740" s="164"/>
      <c r="F740" s="165"/>
      <c r="G740" s="172"/>
      <c r="H740" s="164"/>
      <c r="I740" s="164"/>
      <c r="J740" s="164"/>
      <c r="K740" s="223"/>
      <c r="L740" s="234"/>
      <c r="M740" s="202"/>
      <c r="N740" s="250"/>
      <c r="O740" s="203"/>
      <c r="P740" s="248"/>
      <c r="Q740" s="201"/>
      <c r="R740" s="255"/>
      <c r="S740" s="159"/>
      <c r="T740" s="235"/>
      <c r="U740" s="170"/>
    </row>
    <row r="741" spans="1:21" ht="15.75" hidden="1" outlineLevel="3">
      <c r="A741" s="162"/>
      <c r="B741" s="152"/>
      <c r="C741" s="151" t="s">
        <v>505</v>
      </c>
      <c r="D741" s="339"/>
      <c r="E741" s="164"/>
      <c r="F741" s="165"/>
      <c r="G741" s="172"/>
      <c r="H741" s="164"/>
      <c r="I741" s="164"/>
      <c r="J741" s="164"/>
      <c r="K741" s="223"/>
      <c r="L741" s="234"/>
      <c r="M741" s="202"/>
      <c r="N741" s="250"/>
      <c r="O741" s="203"/>
      <c r="P741" s="248"/>
      <c r="Q741" s="201"/>
      <c r="R741" s="255"/>
      <c r="S741" s="159"/>
      <c r="T741" s="235"/>
      <c r="U741" s="170"/>
    </row>
    <row r="742" spans="1:21" ht="15.75" hidden="1" outlineLevel="3">
      <c r="A742" s="162"/>
      <c r="B742" s="152"/>
      <c r="C742" s="236" t="s">
        <v>487</v>
      </c>
      <c r="D742" s="344"/>
      <c r="E742" s="164"/>
      <c r="F742" s="165"/>
      <c r="G742" s="172"/>
      <c r="H742" s="164"/>
      <c r="I742" s="164"/>
      <c r="J742" s="164"/>
      <c r="K742" s="223"/>
      <c r="L742" s="234"/>
      <c r="M742" s="202"/>
      <c r="N742" s="250"/>
      <c r="O742" s="203"/>
      <c r="P742" s="248"/>
      <c r="Q742" s="201"/>
      <c r="R742" s="255"/>
      <c r="S742" s="159"/>
      <c r="T742" s="235"/>
      <c r="U742" s="170"/>
    </row>
    <row r="743" spans="1:21" ht="15.75" hidden="1" outlineLevel="3">
      <c r="A743" s="162"/>
      <c r="B743" s="152"/>
      <c r="C743" s="236" t="s">
        <v>479</v>
      </c>
      <c r="D743" s="344"/>
      <c r="E743" s="164"/>
      <c r="F743" s="165"/>
      <c r="G743" s="172"/>
      <c r="H743" s="164"/>
      <c r="I743" s="164"/>
      <c r="J743" s="164"/>
      <c r="K743" s="223"/>
      <c r="L743" s="234"/>
      <c r="M743" s="202">
        <v>137000</v>
      </c>
      <c r="N743" s="250">
        <f t="shared" si="35"/>
        <v>168510</v>
      </c>
      <c r="O743" s="203"/>
      <c r="P743" s="248"/>
      <c r="Q743" s="201"/>
      <c r="R743" s="255"/>
      <c r="S743" s="159">
        <f t="shared" si="34"/>
        <v>168510</v>
      </c>
      <c r="T743" s="235"/>
      <c r="U743" s="170"/>
    </row>
    <row r="744" spans="1:21" ht="15.75" hidden="1" outlineLevel="3">
      <c r="A744" s="162"/>
      <c r="B744" s="152"/>
      <c r="C744" s="236" t="s">
        <v>488</v>
      </c>
      <c r="D744" s="344"/>
      <c r="E744" s="164"/>
      <c r="F744" s="165"/>
      <c r="G744" s="172"/>
      <c r="H744" s="219">
        <f>CIP!$AS$58</f>
        <v>0</v>
      </c>
      <c r="I744" s="164"/>
      <c r="J744" s="164"/>
      <c r="K744" s="223"/>
      <c r="L744" s="234">
        <f>SUM(G744:K744)</f>
        <v>0</v>
      </c>
      <c r="M744" s="202"/>
      <c r="N744" s="250"/>
      <c r="O744" s="203"/>
      <c r="P744" s="248"/>
      <c r="Q744" s="201"/>
      <c r="R744" s="255"/>
      <c r="S744" s="159">
        <f t="shared" si="34"/>
        <v>0</v>
      </c>
      <c r="T744" s="235"/>
      <c r="U744" s="170" t="s">
        <v>1476</v>
      </c>
    </row>
    <row r="745" spans="1:21" ht="15.75" hidden="1" outlineLevel="3">
      <c r="A745" s="162"/>
      <c r="B745" s="152"/>
      <c r="C745" s="236" t="s">
        <v>489</v>
      </c>
      <c r="D745" s="344"/>
      <c r="E745" s="164"/>
      <c r="F745" s="165"/>
      <c r="G745" s="172"/>
      <c r="H745" s="164"/>
      <c r="I745" s="164"/>
      <c r="J745" s="164"/>
      <c r="K745" s="223"/>
      <c r="L745" s="234"/>
      <c r="M745" s="202">
        <v>1215000</v>
      </c>
      <c r="N745" s="250">
        <f t="shared" si="35"/>
        <v>1494450</v>
      </c>
      <c r="O745" s="203"/>
      <c r="P745" s="248"/>
      <c r="Q745" s="201"/>
      <c r="R745" s="255"/>
      <c r="S745" s="159">
        <f t="shared" si="34"/>
        <v>1494450</v>
      </c>
      <c r="T745" s="235"/>
      <c r="U745" s="170"/>
    </row>
    <row r="746" spans="1:21" ht="15.75" hidden="1" outlineLevel="3">
      <c r="A746" s="162"/>
      <c r="B746" s="152"/>
      <c r="C746" s="151" t="s">
        <v>506</v>
      </c>
      <c r="D746" s="339"/>
      <c r="E746" s="164"/>
      <c r="F746" s="165"/>
      <c r="G746" s="172"/>
      <c r="H746" s="164"/>
      <c r="I746" s="164"/>
      <c r="J746" s="164"/>
      <c r="K746" s="223"/>
      <c r="L746" s="234"/>
      <c r="M746" s="202"/>
      <c r="N746" s="250"/>
      <c r="O746" s="203"/>
      <c r="P746" s="248"/>
      <c r="Q746" s="201"/>
      <c r="R746" s="255"/>
      <c r="S746" s="159"/>
      <c r="T746" s="235"/>
      <c r="U746" s="170"/>
    </row>
    <row r="747" spans="1:21" ht="15.75" hidden="1" outlineLevel="3">
      <c r="A747" s="162"/>
      <c r="B747" s="152"/>
      <c r="C747" s="236" t="s">
        <v>491</v>
      </c>
      <c r="D747" s="344"/>
      <c r="E747" s="164"/>
      <c r="F747" s="165"/>
      <c r="G747" s="172"/>
      <c r="H747" s="219"/>
      <c r="I747" s="219">
        <f>CIP!$AT$74</f>
        <v>0</v>
      </c>
      <c r="J747" s="164"/>
      <c r="K747" s="515"/>
      <c r="L747" s="234">
        <f>SUM(G747:K747)</f>
        <v>0</v>
      </c>
      <c r="M747" s="202"/>
      <c r="N747" s="250"/>
      <c r="O747" s="203"/>
      <c r="P747" s="248"/>
      <c r="Q747" s="201"/>
      <c r="R747" s="255"/>
      <c r="S747" s="159">
        <f t="shared" si="34"/>
        <v>0</v>
      </c>
      <c r="T747" s="235"/>
      <c r="U747" s="170"/>
    </row>
    <row r="748" spans="1:21" ht="15.75" hidden="1" outlineLevel="3">
      <c r="A748" s="162"/>
      <c r="B748" s="152"/>
      <c r="C748" s="236" t="s">
        <v>492</v>
      </c>
      <c r="D748" s="344"/>
      <c r="E748" s="211"/>
      <c r="F748" s="211"/>
      <c r="G748" s="254"/>
      <c r="H748" s="164">
        <f>CIP!$AS$85</f>
        <v>0</v>
      </c>
      <c r="I748" s="164">
        <f>CIP!$AT$85</f>
        <v>0</v>
      </c>
      <c r="J748" s="164"/>
      <c r="K748" s="223"/>
      <c r="L748" s="234">
        <f>SUM(G748:K748)</f>
        <v>0</v>
      </c>
      <c r="M748" s="202"/>
      <c r="N748" s="250"/>
      <c r="O748" s="203"/>
      <c r="P748" s="248"/>
      <c r="Q748" s="201"/>
      <c r="R748" s="255"/>
      <c r="S748" s="159">
        <f>SUM(L748:R748)</f>
        <v>0</v>
      </c>
      <c r="T748" s="235"/>
      <c r="U748" s="170" t="s">
        <v>370</v>
      </c>
    </row>
    <row r="749" spans="1:21" ht="15.75" hidden="1" outlineLevel="3">
      <c r="A749" s="162"/>
      <c r="B749" s="152"/>
      <c r="C749" s="236" t="s">
        <v>493</v>
      </c>
      <c r="D749" s="344"/>
      <c r="E749" s="164"/>
      <c r="F749" s="165"/>
      <c r="G749" s="172"/>
      <c r="H749" s="164"/>
      <c r="I749" s="164"/>
      <c r="J749" s="164"/>
      <c r="K749" s="218"/>
      <c r="L749" s="234"/>
      <c r="M749" s="206">
        <v>1226000</v>
      </c>
      <c r="N749" s="250">
        <f t="shared" si="35"/>
        <v>1507980</v>
      </c>
      <c r="O749" s="203"/>
      <c r="P749" s="248"/>
      <c r="Q749" s="201"/>
      <c r="R749" s="255"/>
      <c r="S749" s="159">
        <f t="shared" si="34"/>
        <v>1507980</v>
      </c>
      <c r="T749" s="235"/>
      <c r="U749" s="170" t="s">
        <v>676</v>
      </c>
    </row>
    <row r="750" spans="1:21" ht="15.75" hidden="1" outlineLevel="3">
      <c r="A750" s="162"/>
      <c r="B750" s="152"/>
      <c r="C750" s="236" t="s">
        <v>494</v>
      </c>
      <c r="D750" s="344"/>
      <c r="E750" s="164"/>
      <c r="F750" s="165"/>
      <c r="G750" s="172"/>
      <c r="H750" s="219"/>
      <c r="I750" s="164"/>
      <c r="J750" s="164"/>
      <c r="K750" s="223"/>
      <c r="L750" s="234"/>
      <c r="M750" s="202">
        <v>324000</v>
      </c>
      <c r="N750" s="250">
        <f t="shared" si="35"/>
        <v>398520</v>
      </c>
      <c r="O750" s="203"/>
      <c r="P750" s="248"/>
      <c r="Q750" s="201"/>
      <c r="R750" s="255"/>
      <c r="S750" s="159">
        <f t="shared" si="34"/>
        <v>398520</v>
      </c>
      <c r="T750" s="235"/>
      <c r="U750" s="161"/>
    </row>
    <row r="751" spans="1:21" ht="15.75" hidden="1" outlineLevel="3">
      <c r="A751" s="162"/>
      <c r="B751" s="152"/>
      <c r="C751" s="151" t="s">
        <v>507</v>
      </c>
      <c r="D751" s="339"/>
      <c r="E751" s="164"/>
      <c r="F751" s="165"/>
      <c r="G751" s="172"/>
      <c r="H751" s="164"/>
      <c r="I751" s="164"/>
      <c r="J751" s="164"/>
      <c r="K751" s="223"/>
      <c r="L751" s="234"/>
      <c r="M751" s="202"/>
      <c r="N751" s="250"/>
      <c r="O751" s="203"/>
      <c r="P751" s="248"/>
      <c r="Q751" s="201"/>
      <c r="R751" s="255"/>
      <c r="S751" s="159"/>
      <c r="T751" s="235"/>
      <c r="U751" s="170"/>
    </row>
    <row r="752" spans="1:21" ht="15.75" hidden="1" outlineLevel="3">
      <c r="A752" s="162"/>
      <c r="B752" s="152"/>
      <c r="C752" s="174" t="s">
        <v>496</v>
      </c>
      <c r="D752" s="340"/>
      <c r="E752" s="164"/>
      <c r="F752" s="165"/>
      <c r="G752" s="254"/>
      <c r="H752" s="164"/>
      <c r="I752" s="164"/>
      <c r="J752" s="164"/>
      <c r="K752" s="223"/>
      <c r="L752" s="234"/>
      <c r="M752" s="202">
        <v>300000</v>
      </c>
      <c r="N752" s="250">
        <f t="shared" si="35"/>
        <v>369000</v>
      </c>
      <c r="O752" s="203"/>
      <c r="P752" s="248"/>
      <c r="Q752" s="201"/>
      <c r="R752" s="255"/>
      <c r="S752" s="159">
        <f t="shared" si="34"/>
        <v>369000</v>
      </c>
      <c r="T752" s="235"/>
      <c r="U752" s="170" t="s">
        <v>1006</v>
      </c>
    </row>
    <row r="753" spans="1:21" ht="15.75" hidden="1" outlineLevel="3">
      <c r="A753" s="162"/>
      <c r="B753" s="152"/>
      <c r="C753" s="174" t="s">
        <v>497</v>
      </c>
      <c r="D753" s="340"/>
      <c r="E753" s="164"/>
      <c r="F753" s="165"/>
      <c r="G753" s="172"/>
      <c r="H753" s="164"/>
      <c r="I753" s="164"/>
      <c r="J753" s="164"/>
      <c r="K753" s="223"/>
      <c r="L753" s="234"/>
      <c r="M753" s="202">
        <v>500000</v>
      </c>
      <c r="N753" s="250">
        <f t="shared" si="35"/>
        <v>615000</v>
      </c>
      <c r="O753" s="203">
        <v>100000</v>
      </c>
      <c r="P753" s="248">
        <f>O753*1.46</f>
        <v>146000</v>
      </c>
      <c r="Q753" s="201">
        <v>100000</v>
      </c>
      <c r="R753" s="255">
        <f>Q753*1.73</f>
        <v>173000</v>
      </c>
      <c r="S753" s="159">
        <f t="shared" si="34"/>
        <v>934000</v>
      </c>
      <c r="T753" s="235"/>
      <c r="U753" s="170" t="s">
        <v>1150</v>
      </c>
    </row>
    <row r="754" spans="1:21" ht="15.75" hidden="1" outlineLevel="3">
      <c r="A754" s="162"/>
      <c r="B754" s="152"/>
      <c r="C754" s="174" t="s">
        <v>499</v>
      </c>
      <c r="D754" s="340"/>
      <c r="E754" s="164"/>
      <c r="F754" s="165"/>
      <c r="G754" s="172"/>
      <c r="H754" s="164"/>
      <c r="I754" s="164"/>
      <c r="J754" s="164"/>
      <c r="K754" s="223"/>
      <c r="L754" s="234"/>
      <c r="M754" s="202"/>
      <c r="N754" s="250"/>
      <c r="O754" s="203"/>
      <c r="P754" s="248"/>
      <c r="Q754" s="201"/>
      <c r="R754" s="255"/>
      <c r="S754" s="159"/>
      <c r="T754" s="235"/>
      <c r="U754" s="170"/>
    </row>
    <row r="755" spans="1:21" ht="15.75" hidden="1" outlineLevel="3">
      <c r="A755" s="162"/>
      <c r="B755" s="152"/>
      <c r="C755" s="174" t="s">
        <v>526</v>
      </c>
      <c r="D755" s="340"/>
      <c r="E755" s="164"/>
      <c r="F755" s="165"/>
      <c r="G755" s="172"/>
      <c r="H755" s="164"/>
      <c r="I755" s="164"/>
      <c r="J755" s="164"/>
      <c r="K755" s="223"/>
      <c r="L755" s="234"/>
      <c r="M755" s="215">
        <v>125000</v>
      </c>
      <c r="N755" s="250">
        <f t="shared" si="35"/>
        <v>153750</v>
      </c>
      <c r="O755" s="203"/>
      <c r="P755" s="248"/>
      <c r="Q755" s="201"/>
      <c r="R755" s="255"/>
      <c r="S755" s="159">
        <f t="shared" si="34"/>
        <v>153750</v>
      </c>
      <c r="T755" s="235"/>
      <c r="U755" s="161"/>
    </row>
    <row r="756" spans="1:21" ht="15.75" hidden="1" outlineLevel="3">
      <c r="A756" s="162"/>
      <c r="B756" s="152"/>
      <c r="C756" s="174" t="s">
        <v>1474</v>
      </c>
      <c r="D756" s="340"/>
      <c r="E756" s="164"/>
      <c r="F756" s="165"/>
      <c r="G756" s="172"/>
      <c r="H756" s="164"/>
      <c r="I756" s="164"/>
      <c r="J756" s="164"/>
      <c r="K756" s="223"/>
      <c r="L756" s="234"/>
      <c r="M756" s="202"/>
      <c r="N756" s="250"/>
      <c r="O756" s="203">
        <v>100000</v>
      </c>
      <c r="P756" s="248">
        <f>O756*1.46</f>
        <v>146000</v>
      </c>
      <c r="Q756" s="201"/>
      <c r="R756" s="255"/>
      <c r="S756" s="159">
        <f t="shared" si="34"/>
        <v>146000</v>
      </c>
      <c r="T756" s="235"/>
      <c r="U756" s="161" t="s">
        <v>1475</v>
      </c>
    </row>
    <row r="757" spans="1:21" ht="15.75" hidden="1" outlineLevel="3">
      <c r="A757" s="162"/>
      <c r="B757" s="152"/>
      <c r="C757" s="174" t="s">
        <v>677</v>
      </c>
      <c r="D757" s="340"/>
      <c r="E757" s="164"/>
      <c r="F757" s="165"/>
      <c r="G757" s="172"/>
      <c r="H757" s="164"/>
      <c r="I757" s="164"/>
      <c r="J757" s="164"/>
      <c r="K757" s="223"/>
      <c r="L757" s="234"/>
      <c r="M757" s="202"/>
      <c r="N757" s="250"/>
      <c r="O757" s="202">
        <v>167000</v>
      </c>
      <c r="P757" s="248">
        <f>O757*1.46</f>
        <v>243820</v>
      </c>
      <c r="Q757" s="201"/>
      <c r="R757" s="255"/>
      <c r="S757" s="159">
        <f t="shared" si="34"/>
        <v>243820</v>
      </c>
      <c r="T757" s="235"/>
      <c r="U757" s="161"/>
    </row>
    <row r="758" spans="1:21" ht="15.75" hidden="1" outlineLevel="2" collapsed="1">
      <c r="A758" s="162"/>
      <c r="B758" s="152"/>
      <c r="C758" s="151" t="s">
        <v>675</v>
      </c>
      <c r="D758" s="339"/>
      <c r="E758" s="164"/>
      <c r="F758" s="165"/>
      <c r="G758" s="249"/>
      <c r="H758" s="244">
        <f>SUM(H731:H757)</f>
        <v>0</v>
      </c>
      <c r="I758" s="244">
        <f>SUM(I731:I757)</f>
        <v>0</v>
      </c>
      <c r="J758" s="244">
        <f>SUM(J731:J757)</f>
        <v>0</v>
      </c>
      <c r="K758" s="255"/>
      <c r="L758" s="226">
        <f>SUM(L730:L757)</f>
        <v>0</v>
      </c>
      <c r="M758" s="202">
        <f>SUM(M730:M757)</f>
        <v>4182000</v>
      </c>
      <c r="N758" s="244">
        <f t="shared" si="35"/>
        <v>5143860</v>
      </c>
      <c r="O758" s="203">
        <f>SUM(O730:O757)</f>
        <v>367000</v>
      </c>
      <c r="P758" s="244">
        <f>O758*1.46</f>
        <v>535820</v>
      </c>
      <c r="Q758" s="201">
        <f>SUM(Q730:Q757)</f>
        <v>100000</v>
      </c>
      <c r="R758" s="255">
        <f t="shared" ref="R758:R786" si="36">Q758*1.73</f>
        <v>173000</v>
      </c>
      <c r="S758" s="159">
        <f t="shared" si="34"/>
        <v>5852680</v>
      </c>
      <c r="T758" s="235"/>
      <c r="U758" s="161"/>
    </row>
    <row r="759" spans="1:21" s="233" customFormat="1" hidden="1" outlineLevel="3">
      <c r="A759" s="232"/>
      <c r="B759" s="151" t="s">
        <v>689</v>
      </c>
      <c r="C759" s="171"/>
      <c r="D759" s="343"/>
      <c r="E759" s="157"/>
      <c r="F759" s="158"/>
      <c r="G759" s="197"/>
      <c r="H759" s="157"/>
      <c r="I759" s="157"/>
      <c r="J759" s="157"/>
      <c r="K759" s="215"/>
      <c r="L759" s="155"/>
      <c r="M759" s="156"/>
      <c r="N759" s="250"/>
      <c r="O759" s="157"/>
      <c r="P759" s="248"/>
      <c r="Q759" s="158"/>
      <c r="R759" s="255"/>
      <c r="S759" s="159"/>
      <c r="T759" s="225"/>
      <c r="U759" s="170"/>
    </row>
    <row r="760" spans="1:21" ht="15.75" hidden="1" outlineLevel="3">
      <c r="A760" s="162"/>
      <c r="B760" s="152"/>
      <c r="C760" s="151" t="s">
        <v>503</v>
      </c>
      <c r="D760" s="339"/>
      <c r="E760" s="164"/>
      <c r="F760" s="165"/>
      <c r="G760" s="172"/>
      <c r="H760" s="164"/>
      <c r="I760" s="164"/>
      <c r="J760" s="164"/>
      <c r="K760" s="223"/>
      <c r="L760" s="234"/>
      <c r="M760" s="202"/>
      <c r="N760" s="250"/>
      <c r="O760" s="203"/>
      <c r="P760" s="248"/>
      <c r="Q760" s="201"/>
      <c r="R760" s="255"/>
      <c r="S760" s="226"/>
      <c r="T760" s="235"/>
      <c r="U760" s="170"/>
    </row>
    <row r="761" spans="1:21" ht="15.75" hidden="1" outlineLevel="3">
      <c r="A761" s="162"/>
      <c r="B761" s="152"/>
      <c r="C761" s="236" t="s">
        <v>690</v>
      </c>
      <c r="D761" s="344"/>
      <c r="E761" s="164"/>
      <c r="F761" s="165"/>
      <c r="G761" s="172"/>
      <c r="H761" s="164"/>
      <c r="I761" s="164"/>
      <c r="J761" s="164"/>
      <c r="K761" s="223"/>
      <c r="L761" s="234"/>
      <c r="M761" s="202"/>
      <c r="N761" s="250"/>
      <c r="O761" s="203">
        <v>700000</v>
      </c>
      <c r="P761" s="248">
        <f>O761*1.46</f>
        <v>1022000</v>
      </c>
      <c r="Q761" s="201"/>
      <c r="R761" s="255"/>
      <c r="S761" s="159">
        <f t="shared" ref="S761:S789" si="37">SUM(L761,N761,P761,R761)</f>
        <v>1022000</v>
      </c>
      <c r="T761" s="235"/>
      <c r="U761" s="170" t="s">
        <v>691</v>
      </c>
    </row>
    <row r="762" spans="1:21" ht="15.75" hidden="1" outlineLevel="3">
      <c r="A762" s="162"/>
      <c r="B762" s="152"/>
      <c r="C762" s="236" t="s">
        <v>478</v>
      </c>
      <c r="D762" s="344"/>
      <c r="E762" s="164"/>
      <c r="F762" s="165"/>
      <c r="G762" s="172"/>
      <c r="H762" s="164">
        <f>CIP!$AS$41</f>
        <v>0</v>
      </c>
      <c r="I762" s="164">
        <f>CIP!$AT$41</f>
        <v>267806.24999999994</v>
      </c>
      <c r="J762" s="164">
        <f>CIP!$AU$41</f>
        <v>138589.73437499997</v>
      </c>
      <c r="K762" s="223"/>
      <c r="L762" s="234">
        <f>SUM(G762:K762)</f>
        <v>406395.98437499988</v>
      </c>
      <c r="M762" s="202"/>
      <c r="N762" s="250"/>
      <c r="O762" s="203"/>
      <c r="P762" s="248"/>
      <c r="Q762" s="201"/>
      <c r="R762" s="255"/>
      <c r="S762" s="159">
        <f t="shared" si="37"/>
        <v>406395.98437499988</v>
      </c>
      <c r="T762" s="235"/>
      <c r="U762" s="170"/>
    </row>
    <row r="763" spans="1:21" ht="15.75" hidden="1" outlineLevel="3">
      <c r="A763" s="162"/>
      <c r="B763" s="152"/>
      <c r="C763" s="236" t="s">
        <v>479</v>
      </c>
      <c r="D763" s="344"/>
      <c r="E763" s="164"/>
      <c r="F763" s="165"/>
      <c r="G763" s="172"/>
      <c r="H763" s="164"/>
      <c r="I763" s="164"/>
      <c r="J763" s="164"/>
      <c r="K763" s="223"/>
      <c r="L763" s="220"/>
      <c r="M763" s="204">
        <v>500000</v>
      </c>
      <c r="N763" s="250">
        <f>M763*1.23</f>
        <v>615000</v>
      </c>
      <c r="O763" s="203"/>
      <c r="P763" s="248"/>
      <c r="Q763" s="201"/>
      <c r="R763" s="255"/>
      <c r="S763" s="159">
        <f t="shared" si="37"/>
        <v>615000</v>
      </c>
      <c r="T763" s="235"/>
      <c r="U763" s="170"/>
    </row>
    <row r="764" spans="1:21" ht="15.75" hidden="1" outlineLevel="3">
      <c r="A764" s="162"/>
      <c r="B764" s="152"/>
      <c r="C764" s="236" t="s">
        <v>480</v>
      </c>
      <c r="D764" s="344"/>
      <c r="E764" s="164"/>
      <c r="F764" s="165"/>
      <c r="G764" s="172"/>
      <c r="H764" s="164"/>
      <c r="I764" s="164"/>
      <c r="J764" s="164"/>
      <c r="K764" s="223"/>
      <c r="L764" s="234"/>
      <c r="M764" s="202"/>
      <c r="N764" s="250"/>
      <c r="O764" s="203"/>
      <c r="P764" s="248"/>
      <c r="Q764" s="201"/>
      <c r="R764" s="255"/>
      <c r="S764" s="159"/>
      <c r="T764" s="235"/>
      <c r="U764" s="170"/>
    </row>
    <row r="765" spans="1:21" ht="15.75" hidden="1" outlineLevel="3">
      <c r="A765" s="162"/>
      <c r="B765" s="152"/>
      <c r="C765" s="236" t="s">
        <v>512</v>
      </c>
      <c r="D765" s="344"/>
      <c r="E765" s="164"/>
      <c r="F765" s="165"/>
      <c r="G765" s="172"/>
      <c r="H765" s="164"/>
      <c r="I765" s="164"/>
      <c r="J765" s="164"/>
      <c r="K765" s="223"/>
      <c r="L765" s="234"/>
      <c r="M765" s="202"/>
      <c r="N765" s="250"/>
      <c r="O765" s="203"/>
      <c r="P765" s="248"/>
      <c r="Q765" s="201"/>
      <c r="R765" s="255"/>
      <c r="S765" s="159"/>
      <c r="T765" s="235"/>
      <c r="U765" s="170"/>
    </row>
    <row r="766" spans="1:21" ht="15.75" hidden="1" outlineLevel="3">
      <c r="A766" s="162"/>
      <c r="B766" s="152"/>
      <c r="C766" s="151" t="s">
        <v>504</v>
      </c>
      <c r="D766" s="339"/>
      <c r="E766" s="164"/>
      <c r="F766" s="165"/>
      <c r="G766" s="172"/>
      <c r="H766" s="164"/>
      <c r="I766" s="164"/>
      <c r="J766" s="164"/>
      <c r="K766" s="223"/>
      <c r="L766" s="234"/>
      <c r="M766" s="202"/>
      <c r="N766" s="250"/>
      <c r="O766" s="203"/>
      <c r="P766" s="248"/>
      <c r="Q766" s="201"/>
      <c r="R766" s="255"/>
      <c r="S766" s="159"/>
      <c r="T766" s="235"/>
      <c r="U766" s="170"/>
    </row>
    <row r="767" spans="1:21" ht="15.75" hidden="1" outlineLevel="3">
      <c r="A767" s="162"/>
      <c r="B767" s="152"/>
      <c r="C767" s="236" t="s">
        <v>483</v>
      </c>
      <c r="D767" s="344"/>
      <c r="E767" s="211"/>
      <c r="F767" s="211"/>
      <c r="G767" s="172"/>
      <c r="H767" s="164"/>
      <c r="I767" s="164"/>
      <c r="J767" s="164"/>
      <c r="K767" s="223"/>
      <c r="L767" s="173"/>
      <c r="M767" s="202">
        <v>250000</v>
      </c>
      <c r="N767" s="250">
        <f>M767*1.23</f>
        <v>307500</v>
      </c>
      <c r="O767" s="203"/>
      <c r="P767" s="248"/>
      <c r="Q767" s="201"/>
      <c r="R767" s="255"/>
      <c r="S767" s="159">
        <f t="shared" si="37"/>
        <v>307500</v>
      </c>
      <c r="T767" s="235"/>
      <c r="U767" s="170"/>
    </row>
    <row r="768" spans="1:21" ht="15.75" hidden="1" outlineLevel="3">
      <c r="A768" s="162"/>
      <c r="B768" s="152"/>
      <c r="C768" s="236" t="s">
        <v>484</v>
      </c>
      <c r="D768" s="344"/>
      <c r="E768" s="164"/>
      <c r="F768" s="165"/>
      <c r="G768" s="172"/>
      <c r="H768" s="164"/>
      <c r="I768" s="164"/>
      <c r="J768" s="164"/>
      <c r="K768" s="223"/>
      <c r="L768" s="234"/>
      <c r="M768" s="202"/>
      <c r="N768" s="250"/>
      <c r="O768" s="203"/>
      <c r="P768" s="248"/>
      <c r="Q768" s="201">
        <v>150000</v>
      </c>
      <c r="R768" s="255">
        <f t="shared" si="36"/>
        <v>259500</v>
      </c>
      <c r="S768" s="159">
        <f t="shared" si="37"/>
        <v>259500</v>
      </c>
      <c r="T768" s="235"/>
      <c r="U768" s="170"/>
    </row>
    <row r="769" spans="1:21" ht="15.75" hidden="1" outlineLevel="3">
      <c r="A769" s="162"/>
      <c r="B769" s="152"/>
      <c r="C769" s="236" t="s">
        <v>479</v>
      </c>
      <c r="D769" s="344"/>
      <c r="E769" s="164"/>
      <c r="F769" s="165"/>
      <c r="G769" s="172"/>
      <c r="H769" s="164"/>
      <c r="I769" s="164"/>
      <c r="J769" s="164"/>
      <c r="K769" s="223"/>
      <c r="L769" s="234"/>
      <c r="M769" s="202"/>
      <c r="N769" s="250"/>
      <c r="O769" s="203"/>
      <c r="P769" s="248"/>
      <c r="Q769" s="201"/>
      <c r="R769" s="255"/>
      <c r="S769" s="159"/>
      <c r="T769" s="235"/>
      <c r="U769" s="170"/>
    </row>
    <row r="770" spans="1:21" ht="15.75" hidden="1" outlineLevel="3">
      <c r="A770" s="162"/>
      <c r="B770" s="152"/>
      <c r="C770" s="236" t="s">
        <v>485</v>
      </c>
      <c r="D770" s="344"/>
      <c r="E770" s="164"/>
      <c r="F770" s="165"/>
      <c r="G770" s="172"/>
      <c r="H770" s="164"/>
      <c r="I770" s="164"/>
      <c r="J770" s="164"/>
      <c r="K770" s="223"/>
      <c r="L770" s="234"/>
      <c r="M770" s="202"/>
      <c r="N770" s="250"/>
      <c r="O770" s="203"/>
      <c r="P770" s="248"/>
      <c r="Q770" s="201"/>
      <c r="R770" s="255"/>
      <c r="S770" s="159"/>
      <c r="T770" s="235"/>
      <c r="U770" s="170" t="s">
        <v>576</v>
      </c>
    </row>
    <row r="771" spans="1:21" ht="15.75" hidden="1" outlineLevel="3">
      <c r="A771" s="162"/>
      <c r="B771" s="152"/>
      <c r="C771" s="151" t="s">
        <v>505</v>
      </c>
      <c r="D771" s="339"/>
      <c r="E771" s="164"/>
      <c r="F771" s="165"/>
      <c r="G771" s="172"/>
      <c r="H771" s="164"/>
      <c r="I771" s="164"/>
      <c r="J771" s="164"/>
      <c r="K771" s="223"/>
      <c r="L771" s="234"/>
      <c r="M771" s="202"/>
      <c r="N771" s="250"/>
      <c r="O771" s="203"/>
      <c r="P771" s="248"/>
      <c r="Q771" s="201"/>
      <c r="R771" s="255"/>
      <c r="S771" s="159"/>
      <c r="T771" s="235"/>
      <c r="U771" s="170"/>
    </row>
    <row r="772" spans="1:21" ht="15.75" hidden="1" outlineLevel="3">
      <c r="A772" s="162"/>
      <c r="B772" s="152"/>
      <c r="C772" s="236" t="s">
        <v>487</v>
      </c>
      <c r="D772" s="344"/>
      <c r="E772" s="164"/>
      <c r="F772" s="165"/>
      <c r="G772" s="172"/>
      <c r="H772" s="164"/>
      <c r="I772" s="164"/>
      <c r="J772" s="164"/>
      <c r="K772" s="223"/>
      <c r="L772" s="234"/>
      <c r="M772" s="202"/>
      <c r="N772" s="250"/>
      <c r="O772" s="203"/>
      <c r="P772" s="248"/>
      <c r="Q772" s="201"/>
      <c r="R772" s="255"/>
      <c r="S772" s="159"/>
      <c r="T772" s="235"/>
      <c r="U772" s="170"/>
    </row>
    <row r="773" spans="1:21" ht="15.75" hidden="1" outlineLevel="3">
      <c r="A773" s="162"/>
      <c r="B773" s="152"/>
      <c r="C773" s="236" t="s">
        <v>479</v>
      </c>
      <c r="D773" s="344"/>
      <c r="E773" s="164"/>
      <c r="F773" s="165"/>
      <c r="G773" s="172"/>
      <c r="H773" s="164"/>
      <c r="I773" s="164"/>
      <c r="J773" s="164"/>
      <c r="K773" s="223"/>
      <c r="L773" s="234"/>
      <c r="M773" s="202"/>
      <c r="N773" s="250"/>
      <c r="O773" s="203"/>
      <c r="P773" s="248"/>
      <c r="Q773" s="201"/>
      <c r="R773" s="255"/>
      <c r="S773" s="159"/>
      <c r="T773" s="235"/>
      <c r="U773" s="170"/>
    </row>
    <row r="774" spans="1:21" ht="15.75" hidden="1" outlineLevel="3">
      <c r="A774" s="162"/>
      <c r="B774" s="152"/>
      <c r="C774" s="236" t="s">
        <v>488</v>
      </c>
      <c r="D774" s="344"/>
      <c r="E774" s="164"/>
      <c r="F774" s="165"/>
      <c r="G774" s="172"/>
      <c r="H774" s="164"/>
      <c r="I774" s="164"/>
      <c r="J774" s="164"/>
      <c r="K774" s="223"/>
      <c r="L774" s="234"/>
      <c r="M774" s="202"/>
      <c r="N774" s="250"/>
      <c r="O774" s="202">
        <v>100000</v>
      </c>
      <c r="P774" s="248">
        <f>O774*1.46</f>
        <v>146000</v>
      </c>
      <c r="Q774" s="201"/>
      <c r="R774" s="255"/>
      <c r="S774" s="159">
        <f t="shared" si="37"/>
        <v>146000</v>
      </c>
      <c r="T774" s="235"/>
      <c r="U774" s="170"/>
    </row>
    <row r="775" spans="1:21" ht="15.75" hidden="1" outlineLevel="3">
      <c r="A775" s="162"/>
      <c r="B775" s="152"/>
      <c r="C775" s="236" t="s">
        <v>489</v>
      </c>
      <c r="D775" s="344"/>
      <c r="E775" s="164"/>
      <c r="F775" s="165"/>
      <c r="G775" s="172"/>
      <c r="H775" s="164"/>
      <c r="I775" s="164"/>
      <c r="J775" s="164"/>
      <c r="K775" s="223"/>
      <c r="L775" s="234"/>
      <c r="M775" s="202"/>
      <c r="N775" s="250"/>
      <c r="O775" s="203"/>
      <c r="P775" s="248"/>
      <c r="Q775" s="201"/>
      <c r="R775" s="255"/>
      <c r="S775" s="159"/>
      <c r="T775" s="235"/>
      <c r="U775" s="170"/>
    </row>
    <row r="776" spans="1:21" ht="15.75" hidden="1" outlineLevel="3">
      <c r="A776" s="162"/>
      <c r="B776" s="152"/>
      <c r="C776" s="151" t="s">
        <v>506</v>
      </c>
      <c r="D776" s="339"/>
      <c r="E776" s="164"/>
      <c r="F776" s="165"/>
      <c r="G776" s="172"/>
      <c r="H776" s="164"/>
      <c r="I776" s="164"/>
      <c r="J776" s="164"/>
      <c r="K776" s="223"/>
      <c r="L776" s="234"/>
      <c r="M776" s="202"/>
      <c r="N776" s="250"/>
      <c r="O776" s="203"/>
      <c r="P776" s="248"/>
      <c r="Q776" s="201"/>
      <c r="R776" s="255"/>
      <c r="S776" s="159"/>
      <c r="T776" s="235"/>
      <c r="U776" s="170"/>
    </row>
    <row r="777" spans="1:21" ht="15.75" hidden="1" outlineLevel="3">
      <c r="A777" s="162"/>
      <c r="B777" s="152"/>
      <c r="C777" s="236" t="s">
        <v>491</v>
      </c>
      <c r="D777" s="344"/>
      <c r="E777" s="164"/>
      <c r="F777" s="165"/>
      <c r="G777" s="172"/>
      <c r="H777" s="164"/>
      <c r="I777" s="164"/>
      <c r="J777" s="164"/>
      <c r="K777" s="223"/>
      <c r="L777" s="234"/>
      <c r="M777" s="202"/>
      <c r="N777" s="250"/>
      <c r="O777" s="203"/>
      <c r="P777" s="248"/>
      <c r="Q777" s="201"/>
      <c r="R777" s="255"/>
      <c r="S777" s="159"/>
      <c r="T777" s="235"/>
      <c r="U777" s="170"/>
    </row>
    <row r="778" spans="1:21" ht="15.75" hidden="1" outlineLevel="3">
      <c r="A778" s="162"/>
      <c r="B778" s="152"/>
      <c r="C778" s="236" t="s">
        <v>492</v>
      </c>
      <c r="D778" s="344"/>
      <c r="E778" s="211"/>
      <c r="F778" s="211"/>
      <c r="G778" s="172"/>
      <c r="H778" s="164"/>
      <c r="I778" s="164"/>
      <c r="J778" s="164"/>
      <c r="K778" s="223"/>
      <c r="L778" s="234"/>
      <c r="M778" s="202"/>
      <c r="N778" s="250"/>
      <c r="O778" s="203">
        <v>750000</v>
      </c>
      <c r="P778" s="248">
        <f>O778*1.46</f>
        <v>1095000</v>
      </c>
      <c r="Q778" s="201"/>
      <c r="R778" s="255"/>
      <c r="S778" s="159">
        <f t="shared" si="37"/>
        <v>1095000</v>
      </c>
      <c r="T778" s="235"/>
      <c r="U778" s="170"/>
    </row>
    <row r="779" spans="1:21" ht="15.75" hidden="1" outlineLevel="3">
      <c r="A779" s="162"/>
      <c r="B779" s="152"/>
      <c r="C779" s="236" t="s">
        <v>493</v>
      </c>
      <c r="D779" s="344"/>
      <c r="E779" s="164"/>
      <c r="F779" s="165"/>
      <c r="G779" s="172"/>
      <c r="H779" s="164"/>
      <c r="I779" s="164"/>
      <c r="J779" s="164"/>
      <c r="K779" s="223"/>
      <c r="L779" s="234"/>
      <c r="M779" s="202"/>
      <c r="N779" s="250"/>
      <c r="O779" s="203"/>
      <c r="P779" s="248"/>
      <c r="Q779" s="201"/>
      <c r="R779" s="255"/>
      <c r="S779" s="159"/>
      <c r="T779" s="235"/>
      <c r="U779" s="170"/>
    </row>
    <row r="780" spans="1:21" ht="15.75" hidden="1" outlineLevel="3">
      <c r="A780" s="162"/>
      <c r="B780" s="152"/>
      <c r="C780" s="236" t="s">
        <v>494</v>
      </c>
      <c r="D780" s="344"/>
      <c r="E780" s="164"/>
      <c r="F780" s="165"/>
      <c r="G780" s="172"/>
      <c r="H780" s="164"/>
      <c r="I780" s="164"/>
      <c r="J780" s="164"/>
      <c r="K780" s="223"/>
      <c r="L780" s="234"/>
      <c r="M780" s="202"/>
      <c r="N780" s="250"/>
      <c r="O780" s="203"/>
      <c r="P780" s="248"/>
      <c r="Q780" s="201"/>
      <c r="R780" s="255"/>
      <c r="S780" s="159"/>
      <c r="T780" s="235"/>
      <c r="U780" s="161"/>
    </row>
    <row r="781" spans="1:21" ht="15.75" hidden="1" outlineLevel="3">
      <c r="A781" s="162"/>
      <c r="B781" s="152"/>
      <c r="C781" s="151" t="s">
        <v>507</v>
      </c>
      <c r="D781" s="339"/>
      <c r="E781" s="164"/>
      <c r="F781" s="165"/>
      <c r="G781" s="172"/>
      <c r="H781" s="164"/>
      <c r="I781" s="164"/>
      <c r="J781" s="164"/>
      <c r="K781" s="223"/>
      <c r="L781" s="234"/>
      <c r="M781" s="202"/>
      <c r="N781" s="250"/>
      <c r="O781" s="203"/>
      <c r="P781" s="248"/>
      <c r="Q781" s="201"/>
      <c r="R781" s="255"/>
      <c r="S781" s="159"/>
      <c r="T781" s="235"/>
      <c r="U781" s="170"/>
    </row>
    <row r="782" spans="1:21" ht="15.75" hidden="1" outlineLevel="3">
      <c r="A782" s="162"/>
      <c r="B782" s="152"/>
      <c r="C782" s="174" t="s">
        <v>496</v>
      </c>
      <c r="D782" s="340"/>
      <c r="E782" s="164"/>
      <c r="F782" s="165"/>
      <c r="G782" s="172"/>
      <c r="H782" s="164"/>
      <c r="I782" s="164"/>
      <c r="J782" s="164"/>
      <c r="K782" s="223"/>
      <c r="L782" s="234"/>
      <c r="M782" s="202"/>
      <c r="N782" s="250"/>
      <c r="O782" s="203"/>
      <c r="P782" s="248"/>
      <c r="Q782" s="201"/>
      <c r="R782" s="255"/>
      <c r="S782" s="159"/>
      <c r="T782" s="235"/>
      <c r="U782" s="170"/>
    </row>
    <row r="783" spans="1:21" ht="15.75" hidden="1" outlineLevel="3">
      <c r="A783" s="162"/>
      <c r="B783" s="152"/>
      <c r="C783" s="174" t="s">
        <v>497</v>
      </c>
      <c r="D783" s="340"/>
      <c r="E783" s="164"/>
      <c r="F783" s="165"/>
      <c r="G783" s="172"/>
      <c r="H783" s="164"/>
      <c r="I783" s="164"/>
      <c r="J783" s="164"/>
      <c r="K783" s="218"/>
      <c r="L783" s="234"/>
      <c r="M783" s="202"/>
      <c r="N783" s="250"/>
      <c r="O783" s="203"/>
      <c r="P783" s="248"/>
      <c r="Q783" s="201"/>
      <c r="R783" s="255"/>
      <c r="S783" s="159"/>
      <c r="T783" s="235"/>
      <c r="U783" s="170" t="s">
        <v>1477</v>
      </c>
    </row>
    <row r="784" spans="1:21" ht="15.75" hidden="1" outlineLevel="3">
      <c r="A784" s="162"/>
      <c r="B784" s="152"/>
      <c r="C784" s="174" t="s">
        <v>499</v>
      </c>
      <c r="D784" s="340"/>
      <c r="E784" s="164"/>
      <c r="F784" s="165"/>
      <c r="G784" s="172"/>
      <c r="H784" s="164"/>
      <c r="I784" s="164"/>
      <c r="J784" s="164"/>
      <c r="K784" s="223"/>
      <c r="L784" s="234"/>
      <c r="M784" s="202"/>
      <c r="N784" s="250"/>
      <c r="O784" s="203"/>
      <c r="P784" s="248"/>
      <c r="Q784" s="201"/>
      <c r="R784" s="255"/>
      <c r="S784" s="159"/>
      <c r="T784" s="235"/>
      <c r="U784" s="170"/>
    </row>
    <row r="785" spans="1:21" ht="15.75" hidden="1" outlineLevel="3">
      <c r="A785" s="162"/>
      <c r="B785" s="152"/>
      <c r="C785" s="174" t="s">
        <v>526</v>
      </c>
      <c r="D785" s="340"/>
      <c r="E785" s="164"/>
      <c r="F785" s="165"/>
      <c r="G785" s="172"/>
      <c r="H785" s="219"/>
      <c r="I785" s="164"/>
      <c r="J785" s="164"/>
      <c r="K785" s="218"/>
      <c r="L785" s="234"/>
      <c r="M785" s="202"/>
      <c r="N785" s="250"/>
      <c r="O785" s="203"/>
      <c r="P785" s="248"/>
      <c r="Q785" s="201"/>
      <c r="R785" s="255"/>
      <c r="S785" s="159"/>
      <c r="T785" s="235"/>
      <c r="U785" s="161"/>
    </row>
    <row r="786" spans="1:21" ht="15.75" hidden="1" outlineLevel="2" collapsed="1">
      <c r="A786" s="162"/>
      <c r="B786" s="152"/>
      <c r="C786" s="151" t="s">
        <v>689</v>
      </c>
      <c r="D786" s="339"/>
      <c r="E786" s="164"/>
      <c r="F786" s="165"/>
      <c r="G786" s="249"/>
      <c r="H786" s="244">
        <f>SUM(H761:H785)</f>
        <v>0</v>
      </c>
      <c r="I786" s="244">
        <f>SUM(I761:I785)</f>
        <v>267806.24999999994</v>
      </c>
      <c r="J786" s="244">
        <f>SUM(J761:J785)</f>
        <v>138589.73437499997</v>
      </c>
      <c r="K786" s="255"/>
      <c r="L786" s="226">
        <f>SUM(L761:L785)</f>
        <v>406395.98437499988</v>
      </c>
      <c r="M786" s="202">
        <f>SUM(M761:M785)</f>
        <v>750000</v>
      </c>
      <c r="N786" s="244">
        <f>M786*1.23</f>
        <v>922500</v>
      </c>
      <c r="O786" s="203">
        <f>SUM(O761:O785)</f>
        <v>1550000</v>
      </c>
      <c r="P786" s="244">
        <f>O786*1.46</f>
        <v>2263000</v>
      </c>
      <c r="Q786" s="201">
        <f>SUM(Q761:Q785)</f>
        <v>150000</v>
      </c>
      <c r="R786" s="255">
        <f t="shared" si="36"/>
        <v>259500</v>
      </c>
      <c r="S786" s="159">
        <f t="shared" si="37"/>
        <v>3851395.984375</v>
      </c>
      <c r="T786" s="235"/>
      <c r="U786" s="161"/>
    </row>
    <row r="787" spans="1:21" s="233" customFormat="1" hidden="1" outlineLevel="3">
      <c r="A787" s="232"/>
      <c r="B787" s="151" t="s">
        <v>678</v>
      </c>
      <c r="C787" s="171"/>
      <c r="D787" s="343"/>
      <c r="E787" s="157"/>
      <c r="F787" s="158"/>
      <c r="G787" s="197"/>
      <c r="H787" s="157"/>
      <c r="I787" s="157"/>
      <c r="J787" s="157"/>
      <c r="K787" s="215"/>
      <c r="L787" s="155"/>
      <c r="M787" s="156"/>
      <c r="N787" s="250"/>
      <c r="O787" s="157"/>
      <c r="P787" s="248"/>
      <c r="Q787" s="158"/>
      <c r="R787" s="255"/>
      <c r="S787" s="159"/>
      <c r="T787" s="225"/>
      <c r="U787" s="170"/>
    </row>
    <row r="788" spans="1:21" ht="15.75" hidden="1" outlineLevel="3">
      <c r="A788" s="162"/>
      <c r="B788" s="152"/>
      <c r="C788" s="174" t="s">
        <v>379</v>
      </c>
      <c r="D788" s="340"/>
      <c r="E788" s="164"/>
      <c r="F788" s="165"/>
      <c r="G788" s="172"/>
      <c r="H788" s="164"/>
      <c r="I788" s="164"/>
      <c r="J788" s="164"/>
      <c r="K788" s="223"/>
      <c r="L788" s="234"/>
      <c r="M788" s="202"/>
      <c r="N788" s="250"/>
      <c r="O788" s="202">
        <v>300000</v>
      </c>
      <c r="P788" s="248">
        <f>O788*1.46</f>
        <v>438000</v>
      </c>
      <c r="Q788" s="201"/>
      <c r="R788" s="255"/>
      <c r="S788" s="159">
        <f t="shared" si="37"/>
        <v>438000</v>
      </c>
      <c r="T788" s="235"/>
      <c r="U788" s="161" t="s">
        <v>619</v>
      </c>
    </row>
    <row r="789" spans="1:21" ht="15.75" hidden="1" outlineLevel="2" collapsed="1">
      <c r="A789" s="162"/>
      <c r="B789" s="152"/>
      <c r="C789" s="151" t="s">
        <v>678</v>
      </c>
      <c r="D789" s="339"/>
      <c r="E789" s="164"/>
      <c r="F789" s="165"/>
      <c r="G789" s="172"/>
      <c r="H789" s="164"/>
      <c r="I789" s="164"/>
      <c r="J789" s="164"/>
      <c r="K789" s="223"/>
      <c r="L789" s="234"/>
      <c r="M789" s="202"/>
      <c r="N789" s="244"/>
      <c r="O789" s="203">
        <f>SUM(O788)</f>
        <v>300000</v>
      </c>
      <c r="P789" s="248">
        <f>SUM(P788)</f>
        <v>438000</v>
      </c>
      <c r="Q789" s="201"/>
      <c r="R789" s="255"/>
      <c r="S789" s="159">
        <f t="shared" si="37"/>
        <v>438000</v>
      </c>
      <c r="T789" s="235"/>
      <c r="U789" s="161" t="s">
        <v>679</v>
      </c>
    </row>
    <row r="790" spans="1:21" s="233" customFormat="1" hidden="1" outlineLevel="3">
      <c r="A790" s="232"/>
      <c r="B790" s="151" t="s">
        <v>32</v>
      </c>
      <c r="C790" s="171"/>
      <c r="D790" s="343"/>
      <c r="E790" s="157"/>
      <c r="F790" s="158"/>
      <c r="G790" s="197"/>
      <c r="H790" s="157"/>
      <c r="I790" s="157"/>
      <c r="J790" s="157"/>
      <c r="K790" s="215"/>
      <c r="L790" s="155"/>
      <c r="M790" s="156"/>
      <c r="N790" s="250"/>
      <c r="O790" s="157"/>
      <c r="P790" s="248"/>
      <c r="Q790" s="158"/>
      <c r="R790" s="255"/>
      <c r="S790" s="159"/>
      <c r="T790" s="225"/>
      <c r="U790" s="170"/>
    </row>
    <row r="791" spans="1:21" ht="15.75" hidden="1" outlineLevel="3">
      <c r="A791" s="162"/>
      <c r="B791" s="152"/>
      <c r="C791" s="151" t="s">
        <v>503</v>
      </c>
      <c r="D791" s="339"/>
      <c r="E791" s="164"/>
      <c r="F791" s="165"/>
      <c r="G791" s="172"/>
      <c r="H791" s="164"/>
      <c r="I791" s="164"/>
      <c r="J791" s="164"/>
      <c r="K791" s="223"/>
      <c r="L791" s="234"/>
      <c r="M791" s="202"/>
      <c r="N791" s="250"/>
      <c r="O791" s="203"/>
      <c r="P791" s="248"/>
      <c r="Q791" s="201"/>
      <c r="R791" s="255"/>
      <c r="S791" s="226"/>
      <c r="T791" s="235"/>
      <c r="U791" s="170"/>
    </row>
    <row r="792" spans="1:21" ht="15.75" hidden="1" outlineLevel="3">
      <c r="A792" s="162"/>
      <c r="B792" s="152"/>
      <c r="C792" s="236" t="s">
        <v>520</v>
      </c>
      <c r="D792" s="344"/>
      <c r="E792" s="164"/>
      <c r="F792" s="165"/>
      <c r="G792" s="172"/>
      <c r="H792" s="164"/>
      <c r="I792" s="164"/>
      <c r="J792" s="164"/>
      <c r="K792" s="223"/>
      <c r="L792" s="234"/>
      <c r="M792" s="202"/>
      <c r="N792" s="250"/>
      <c r="O792" s="203"/>
      <c r="P792" s="248"/>
      <c r="Q792" s="201"/>
      <c r="R792" s="255"/>
      <c r="S792" s="226"/>
      <c r="T792" s="235"/>
      <c r="U792" s="170"/>
    </row>
    <row r="793" spans="1:21" ht="15.75" hidden="1" outlineLevel="3">
      <c r="A793" s="162"/>
      <c r="B793" s="152"/>
      <c r="C793" s="236" t="s">
        <v>478</v>
      </c>
      <c r="D793" s="344"/>
      <c r="E793" s="164"/>
      <c r="F793" s="165"/>
      <c r="G793" s="254">
        <f>CIP!$AR$20</f>
        <v>172000</v>
      </c>
      <c r="H793" s="164"/>
      <c r="I793" s="164"/>
      <c r="J793" s="164"/>
      <c r="K793" s="223"/>
      <c r="L793" s="234">
        <f>SUM(G793:K793)</f>
        <v>172000</v>
      </c>
      <c r="M793" s="202"/>
      <c r="N793" s="250"/>
      <c r="O793" s="203"/>
      <c r="P793" s="248"/>
      <c r="Q793" s="201"/>
      <c r="R793" s="255"/>
      <c r="S793" s="159">
        <f t="shared" ref="S793" si="38">SUM(L793,N793,P793,R793)</f>
        <v>172000</v>
      </c>
      <c r="T793" s="235"/>
      <c r="U793" s="170"/>
    </row>
    <row r="794" spans="1:21" ht="15.75" hidden="1" outlineLevel="3">
      <c r="A794" s="162"/>
      <c r="B794" s="152"/>
      <c r="C794" s="236" t="s">
        <v>479</v>
      </c>
      <c r="D794" s="344"/>
      <c r="E794" s="164"/>
      <c r="F794" s="165"/>
      <c r="G794" s="172"/>
      <c r="H794" s="164"/>
      <c r="I794" s="164"/>
      <c r="J794" s="164"/>
      <c r="K794" s="223"/>
      <c r="L794" s="220"/>
      <c r="M794" s="204"/>
      <c r="N794" s="250"/>
      <c r="O794" s="203"/>
      <c r="P794" s="248"/>
      <c r="Q794" s="201"/>
      <c r="R794" s="255"/>
      <c r="S794" s="226"/>
      <c r="T794" s="235"/>
      <c r="U794" s="170"/>
    </row>
    <row r="795" spans="1:21" ht="15.75" hidden="1" outlineLevel="3">
      <c r="A795" s="162"/>
      <c r="B795" s="152"/>
      <c r="C795" s="236" t="s">
        <v>480</v>
      </c>
      <c r="D795" s="344"/>
      <c r="E795" s="164"/>
      <c r="F795" s="165"/>
      <c r="G795" s="172"/>
      <c r="H795" s="164"/>
      <c r="I795" s="164"/>
      <c r="J795" s="164"/>
      <c r="K795" s="223"/>
      <c r="L795" s="234"/>
      <c r="M795" s="202"/>
      <c r="N795" s="250"/>
      <c r="O795" s="203"/>
      <c r="P795" s="248"/>
      <c r="Q795" s="201"/>
      <c r="R795" s="255"/>
      <c r="S795" s="226"/>
      <c r="T795" s="235"/>
      <c r="U795" s="170"/>
    </row>
    <row r="796" spans="1:21" ht="15.75" hidden="1" outlineLevel="3">
      <c r="A796" s="162"/>
      <c r="B796" s="152"/>
      <c r="C796" s="236" t="s">
        <v>512</v>
      </c>
      <c r="D796" s="344"/>
      <c r="E796" s="164"/>
      <c r="F796" s="165"/>
      <c r="G796" s="172"/>
      <c r="H796" s="164"/>
      <c r="I796" s="164"/>
      <c r="J796" s="164"/>
      <c r="K796" s="223"/>
      <c r="L796" s="234"/>
      <c r="M796" s="202"/>
      <c r="N796" s="250"/>
      <c r="O796" s="203"/>
      <c r="P796" s="248"/>
      <c r="Q796" s="201"/>
      <c r="R796" s="255"/>
      <c r="S796" s="226"/>
      <c r="T796" s="235"/>
      <c r="U796" s="170"/>
    </row>
    <row r="797" spans="1:21" ht="15.75" hidden="1" outlineLevel="3">
      <c r="A797" s="162"/>
      <c r="B797" s="152"/>
      <c r="C797" s="151" t="s">
        <v>504</v>
      </c>
      <c r="D797" s="339"/>
      <c r="E797" s="164"/>
      <c r="F797" s="165"/>
      <c r="G797" s="172"/>
      <c r="H797" s="164"/>
      <c r="I797" s="164"/>
      <c r="J797" s="164"/>
      <c r="K797" s="223"/>
      <c r="L797" s="234"/>
      <c r="M797" s="202"/>
      <c r="N797" s="250"/>
      <c r="O797" s="203"/>
      <c r="P797" s="248"/>
      <c r="Q797" s="201"/>
      <c r="R797" s="255"/>
      <c r="S797" s="226"/>
      <c r="T797" s="235"/>
      <c r="U797" s="170"/>
    </row>
    <row r="798" spans="1:21" ht="15.75" hidden="1" outlineLevel="3">
      <c r="A798" s="162"/>
      <c r="B798" s="152"/>
      <c r="C798" s="236" t="s">
        <v>483</v>
      </c>
      <c r="D798" s="344"/>
      <c r="E798" s="164"/>
      <c r="F798" s="165"/>
      <c r="G798" s="172"/>
      <c r="H798" s="164"/>
      <c r="I798" s="164"/>
      <c r="J798" s="164"/>
      <c r="K798" s="223"/>
      <c r="L798" s="234"/>
      <c r="M798" s="202"/>
      <c r="N798" s="250"/>
      <c r="O798" s="203"/>
      <c r="P798" s="248"/>
      <c r="Q798" s="201"/>
      <c r="R798" s="255"/>
      <c r="S798" s="226"/>
      <c r="T798" s="235"/>
      <c r="U798" s="170"/>
    </row>
    <row r="799" spans="1:21" ht="15.75" hidden="1" outlineLevel="3">
      <c r="A799" s="162"/>
      <c r="B799" s="152"/>
      <c r="C799" s="236" t="s">
        <v>484</v>
      </c>
      <c r="D799" s="344"/>
      <c r="E799" s="164"/>
      <c r="F799" s="165"/>
      <c r="G799" s="172"/>
      <c r="H799" s="164"/>
      <c r="I799" s="164"/>
      <c r="J799" s="164"/>
      <c r="K799" s="223"/>
      <c r="L799" s="234"/>
      <c r="M799" s="202"/>
      <c r="N799" s="250"/>
      <c r="O799" s="203"/>
      <c r="P799" s="248"/>
      <c r="Q799" s="201"/>
      <c r="R799" s="255"/>
      <c r="S799" s="226"/>
      <c r="T799" s="235"/>
      <c r="U799" s="170"/>
    </row>
    <row r="800" spans="1:21" ht="15.75" hidden="1" outlineLevel="3">
      <c r="A800" s="162"/>
      <c r="B800" s="152"/>
      <c r="C800" s="236" t="s">
        <v>479</v>
      </c>
      <c r="D800" s="344"/>
      <c r="E800" s="164"/>
      <c r="F800" s="165"/>
      <c r="G800" s="172"/>
      <c r="H800" s="164"/>
      <c r="I800" s="164"/>
      <c r="J800" s="164"/>
      <c r="K800" s="223"/>
      <c r="L800" s="234"/>
      <c r="M800" s="202"/>
      <c r="N800" s="250"/>
      <c r="O800" s="203"/>
      <c r="P800" s="248"/>
      <c r="Q800" s="201"/>
      <c r="R800" s="255"/>
      <c r="S800" s="226"/>
      <c r="T800" s="235"/>
      <c r="U800" s="170"/>
    </row>
    <row r="801" spans="1:21" ht="15.75" hidden="1" outlineLevel="3">
      <c r="A801" s="162"/>
      <c r="B801" s="152"/>
      <c r="C801" s="236" t="s">
        <v>485</v>
      </c>
      <c r="D801" s="344"/>
      <c r="E801" s="164"/>
      <c r="F801" s="165"/>
      <c r="G801" s="172"/>
      <c r="H801" s="164"/>
      <c r="I801" s="164"/>
      <c r="J801" s="164"/>
      <c r="K801" s="223"/>
      <c r="L801" s="234"/>
      <c r="M801" s="202"/>
      <c r="N801" s="250"/>
      <c r="O801" s="203"/>
      <c r="P801" s="248"/>
      <c r="Q801" s="201"/>
      <c r="R801" s="255"/>
      <c r="S801" s="226"/>
      <c r="T801" s="235"/>
      <c r="U801" s="170"/>
    </row>
    <row r="802" spans="1:21" ht="15.75" hidden="1" outlineLevel="3">
      <c r="A802" s="162"/>
      <c r="B802" s="152"/>
      <c r="C802" s="151" t="s">
        <v>505</v>
      </c>
      <c r="D802" s="339"/>
      <c r="E802" s="164"/>
      <c r="F802" s="165"/>
      <c r="G802" s="172"/>
      <c r="H802" s="164"/>
      <c r="I802" s="164"/>
      <c r="J802" s="164"/>
      <c r="K802" s="223"/>
      <c r="L802" s="234"/>
      <c r="M802" s="202"/>
      <c r="N802" s="250"/>
      <c r="O802" s="203"/>
      <c r="P802" s="248"/>
      <c r="Q802" s="201"/>
      <c r="R802" s="255"/>
      <c r="S802" s="226"/>
      <c r="T802" s="235"/>
      <c r="U802" s="170"/>
    </row>
    <row r="803" spans="1:21" ht="15.75" hidden="1" outlineLevel="3">
      <c r="A803" s="162"/>
      <c r="B803" s="152"/>
      <c r="C803" s="236" t="s">
        <v>487</v>
      </c>
      <c r="D803" s="344"/>
      <c r="E803" s="164"/>
      <c r="F803" s="165"/>
      <c r="G803" s="172"/>
      <c r="H803" s="164"/>
      <c r="I803" s="164"/>
      <c r="J803" s="164"/>
      <c r="K803" s="223"/>
      <c r="L803" s="234"/>
      <c r="M803" s="202"/>
      <c r="N803" s="250"/>
      <c r="O803" s="203"/>
      <c r="P803" s="248"/>
      <c r="Q803" s="201"/>
      <c r="R803" s="255"/>
      <c r="S803" s="226"/>
      <c r="T803" s="235"/>
      <c r="U803" s="170"/>
    </row>
    <row r="804" spans="1:21" ht="15.75" hidden="1" outlineLevel="3">
      <c r="A804" s="162"/>
      <c r="B804" s="152"/>
      <c r="C804" s="236" t="s">
        <v>479</v>
      </c>
      <c r="D804" s="344"/>
      <c r="E804" s="164"/>
      <c r="F804" s="165"/>
      <c r="G804" s="172"/>
      <c r="H804" s="164"/>
      <c r="I804" s="164"/>
      <c r="J804" s="164"/>
      <c r="K804" s="223"/>
      <c r="L804" s="234"/>
      <c r="M804" s="202"/>
      <c r="N804" s="250"/>
      <c r="O804" s="203"/>
      <c r="P804" s="248"/>
      <c r="Q804" s="201"/>
      <c r="R804" s="255"/>
      <c r="S804" s="226"/>
      <c r="T804" s="235"/>
      <c r="U804" s="170"/>
    </row>
    <row r="805" spans="1:21" ht="15.75" hidden="1" outlineLevel="3">
      <c r="A805" s="162"/>
      <c r="B805" s="152"/>
      <c r="C805" s="236" t="s">
        <v>488</v>
      </c>
      <c r="D805" s="344"/>
      <c r="E805" s="164"/>
      <c r="F805" s="165"/>
      <c r="G805" s="172"/>
      <c r="H805" s="164"/>
      <c r="I805" s="164"/>
      <c r="J805" s="164"/>
      <c r="K805" s="223"/>
      <c r="L805" s="234"/>
      <c r="M805" s="202"/>
      <c r="N805" s="250"/>
      <c r="O805" s="203"/>
      <c r="P805" s="248"/>
      <c r="Q805" s="201"/>
      <c r="R805" s="255"/>
      <c r="S805" s="226"/>
      <c r="T805" s="235"/>
      <c r="U805" s="170"/>
    </row>
    <row r="806" spans="1:21" ht="15.75" hidden="1" outlineLevel="3">
      <c r="A806" s="162"/>
      <c r="B806" s="152"/>
      <c r="C806" s="236" t="s">
        <v>489</v>
      </c>
      <c r="D806" s="344"/>
      <c r="E806" s="164"/>
      <c r="F806" s="165"/>
      <c r="G806" s="172"/>
      <c r="H806" s="164"/>
      <c r="I806" s="164"/>
      <c r="J806" s="164"/>
      <c r="K806" s="223"/>
      <c r="L806" s="234"/>
      <c r="M806" s="202">
        <v>170000</v>
      </c>
      <c r="N806" s="250">
        <f>M806*1.23</f>
        <v>209100</v>
      </c>
      <c r="O806" s="203"/>
      <c r="P806" s="248"/>
      <c r="Q806" s="201"/>
      <c r="R806" s="255"/>
      <c r="S806" s="159">
        <f t="shared" ref="S806:S817" si="39">SUM(L806,N806,P806,R806)</f>
        <v>209100</v>
      </c>
      <c r="T806" s="235"/>
      <c r="U806" s="170"/>
    </row>
    <row r="807" spans="1:21" ht="15.75" hidden="1" outlineLevel="3">
      <c r="A807" s="162"/>
      <c r="B807" s="152"/>
      <c r="C807" s="151" t="s">
        <v>506</v>
      </c>
      <c r="D807" s="339"/>
      <c r="E807" s="164"/>
      <c r="F807" s="165"/>
      <c r="G807" s="172"/>
      <c r="H807" s="164"/>
      <c r="I807" s="164"/>
      <c r="J807" s="164"/>
      <c r="K807" s="223"/>
      <c r="L807" s="234"/>
      <c r="M807" s="202"/>
      <c r="N807" s="250"/>
      <c r="O807" s="203"/>
      <c r="P807" s="248"/>
      <c r="Q807" s="201"/>
      <c r="R807" s="255"/>
      <c r="S807" s="159"/>
      <c r="T807" s="235"/>
      <c r="U807" s="170"/>
    </row>
    <row r="808" spans="1:21" ht="15.75" hidden="1" outlineLevel="3">
      <c r="A808" s="162"/>
      <c r="B808" s="152"/>
      <c r="C808" s="236" t="s">
        <v>491</v>
      </c>
      <c r="D808" s="344"/>
      <c r="E808" s="211"/>
      <c r="F808" s="211"/>
      <c r="G808" s="172"/>
      <c r="H808" s="164"/>
      <c r="I808" s="164"/>
      <c r="J808" s="164"/>
      <c r="K808" s="223"/>
      <c r="L808" s="173"/>
      <c r="M808" s="202">
        <v>150000</v>
      </c>
      <c r="N808" s="250">
        <f t="shared" ref="N808:N809" si="40">M808*1.23</f>
        <v>184500</v>
      </c>
      <c r="O808" s="203"/>
      <c r="P808" s="248"/>
      <c r="Q808" s="201"/>
      <c r="R808" s="255"/>
      <c r="S808" s="159">
        <f t="shared" si="39"/>
        <v>184500</v>
      </c>
      <c r="T808" s="235"/>
      <c r="U808" s="170"/>
    </row>
    <row r="809" spans="1:21" ht="15.75" hidden="1" outlineLevel="3">
      <c r="A809" s="162"/>
      <c r="B809" s="152"/>
      <c r="C809" s="236" t="s">
        <v>492</v>
      </c>
      <c r="D809" s="344"/>
      <c r="E809" s="211"/>
      <c r="F809" s="211"/>
      <c r="G809" s="172"/>
      <c r="H809" s="164"/>
      <c r="I809" s="164"/>
      <c r="J809" s="164"/>
      <c r="K809" s="223"/>
      <c r="L809" s="234"/>
      <c r="M809" s="202">
        <v>125000</v>
      </c>
      <c r="N809" s="250">
        <f t="shared" si="40"/>
        <v>153750</v>
      </c>
      <c r="O809" s="203"/>
      <c r="P809" s="248"/>
      <c r="Q809" s="201"/>
      <c r="R809" s="255"/>
      <c r="S809" s="159">
        <f t="shared" si="39"/>
        <v>153750</v>
      </c>
      <c r="T809" s="235"/>
      <c r="U809" s="170"/>
    </row>
    <row r="810" spans="1:21" ht="15.75" hidden="1" outlineLevel="3">
      <c r="A810" s="162"/>
      <c r="B810" s="152"/>
      <c r="C810" s="236" t="s">
        <v>493</v>
      </c>
      <c r="D810" s="344"/>
      <c r="E810" s="164"/>
      <c r="F810" s="165"/>
      <c r="G810" s="172"/>
      <c r="H810" s="164"/>
      <c r="I810" s="164"/>
      <c r="J810" s="164"/>
      <c r="K810" s="223"/>
      <c r="L810" s="234"/>
      <c r="M810" s="202"/>
      <c r="N810" s="250"/>
      <c r="O810" s="203">
        <v>244000</v>
      </c>
      <c r="P810" s="248">
        <f>O810*1.46</f>
        <v>356240</v>
      </c>
      <c r="Q810" s="201"/>
      <c r="R810" s="255"/>
      <c r="S810" s="159">
        <f t="shared" si="39"/>
        <v>356240</v>
      </c>
      <c r="T810" s="235"/>
      <c r="U810" s="170"/>
    </row>
    <row r="811" spans="1:21" ht="15.75" hidden="1" outlineLevel="3">
      <c r="A811" s="162"/>
      <c r="B811" s="152"/>
      <c r="C811" s="236" t="s">
        <v>494</v>
      </c>
      <c r="D811" s="344"/>
      <c r="E811" s="164"/>
      <c r="F811" s="165"/>
      <c r="G811" s="172"/>
      <c r="H811" s="164"/>
      <c r="I811" s="164"/>
      <c r="J811" s="164"/>
      <c r="K811" s="223"/>
      <c r="L811" s="234"/>
      <c r="M811" s="202"/>
      <c r="N811" s="250"/>
      <c r="O811" s="203"/>
      <c r="P811" s="248"/>
      <c r="Q811" s="201"/>
      <c r="R811" s="255"/>
      <c r="S811" s="159"/>
      <c r="T811" s="235"/>
      <c r="U811" s="161"/>
    </row>
    <row r="812" spans="1:21" ht="15.75" hidden="1" outlineLevel="3">
      <c r="A812" s="162"/>
      <c r="B812" s="152"/>
      <c r="C812" s="151" t="s">
        <v>507</v>
      </c>
      <c r="D812" s="339"/>
      <c r="E812" s="164"/>
      <c r="F812" s="165"/>
      <c r="G812" s="172"/>
      <c r="H812" s="164"/>
      <c r="I812" s="164"/>
      <c r="J812" s="164"/>
      <c r="K812" s="223"/>
      <c r="L812" s="234"/>
      <c r="M812" s="202"/>
      <c r="N812" s="250"/>
      <c r="O812" s="203"/>
      <c r="P812" s="248"/>
      <c r="Q812" s="201"/>
      <c r="R812" s="255"/>
      <c r="S812" s="159"/>
      <c r="T812" s="235"/>
      <c r="U812" s="170"/>
    </row>
    <row r="813" spans="1:21" ht="15.75" hidden="1" outlineLevel="3">
      <c r="A813" s="162"/>
      <c r="B813" s="152"/>
      <c r="C813" s="174" t="s">
        <v>496</v>
      </c>
      <c r="D813" s="340"/>
      <c r="E813" s="211"/>
      <c r="F813" s="211"/>
      <c r="G813" s="172"/>
      <c r="H813" s="164"/>
      <c r="I813" s="164"/>
      <c r="J813" s="164"/>
      <c r="K813" s="223"/>
      <c r="L813" s="173"/>
      <c r="M813" s="202">
        <v>300000</v>
      </c>
      <c r="N813" s="250">
        <f>M813*1.23</f>
        <v>369000</v>
      </c>
      <c r="O813" s="203"/>
      <c r="P813" s="248"/>
      <c r="Q813" s="201"/>
      <c r="R813" s="255"/>
      <c r="S813" s="159">
        <f t="shared" si="39"/>
        <v>369000</v>
      </c>
      <c r="T813" s="235"/>
      <c r="U813" s="170"/>
    </row>
    <row r="814" spans="1:21" ht="15.75" hidden="1" outlineLevel="3">
      <c r="A814" s="162"/>
      <c r="B814" s="152"/>
      <c r="C814" s="174" t="s">
        <v>497</v>
      </c>
      <c r="D814" s="340"/>
      <c r="E814" s="164"/>
      <c r="F814" s="165"/>
      <c r="G814" s="172"/>
      <c r="H814" s="164"/>
      <c r="I814" s="164"/>
      <c r="J814" s="164"/>
      <c r="K814" s="223"/>
      <c r="L814" s="234"/>
      <c r="M814" s="202"/>
      <c r="N814" s="250"/>
      <c r="O814" s="203"/>
      <c r="P814" s="248"/>
      <c r="Q814" s="201"/>
      <c r="R814" s="255"/>
      <c r="S814" s="159"/>
      <c r="T814" s="235"/>
      <c r="U814" s="170"/>
    </row>
    <row r="815" spans="1:21" ht="15.75" hidden="1" outlineLevel="3">
      <c r="A815" s="162"/>
      <c r="B815" s="152"/>
      <c r="C815" s="174" t="s">
        <v>499</v>
      </c>
      <c r="D815" s="340"/>
      <c r="E815" s="164"/>
      <c r="F815" s="165"/>
      <c r="G815" s="172"/>
      <c r="H815" s="164"/>
      <c r="I815" s="164"/>
      <c r="J815" s="164"/>
      <c r="K815" s="223"/>
      <c r="L815" s="234"/>
      <c r="M815" s="202"/>
      <c r="N815" s="250"/>
      <c r="O815" s="203"/>
      <c r="P815" s="248"/>
      <c r="Q815" s="201"/>
      <c r="R815" s="255"/>
      <c r="S815" s="159"/>
      <c r="T815" s="235"/>
      <c r="U815" s="170"/>
    </row>
    <row r="816" spans="1:21" ht="15.75" hidden="1" outlineLevel="3">
      <c r="A816" s="162"/>
      <c r="B816" s="152"/>
      <c r="C816" s="174" t="s">
        <v>526</v>
      </c>
      <c r="D816" s="340"/>
      <c r="E816" s="164"/>
      <c r="F816" s="165"/>
      <c r="G816" s="172"/>
      <c r="H816" s="219"/>
      <c r="I816" s="164"/>
      <c r="J816" s="164"/>
      <c r="K816" s="223"/>
      <c r="L816" s="234"/>
      <c r="M816" s="202"/>
      <c r="N816" s="250"/>
      <c r="O816" s="203"/>
      <c r="P816" s="248"/>
      <c r="Q816" s="201"/>
      <c r="R816" s="255"/>
      <c r="S816" s="159"/>
      <c r="T816" s="235"/>
      <c r="U816" s="161"/>
    </row>
    <row r="817" spans="1:21" ht="15.75" hidden="1" outlineLevel="2" collapsed="1">
      <c r="A817" s="162"/>
      <c r="B817" s="152"/>
      <c r="C817" s="151" t="s">
        <v>32</v>
      </c>
      <c r="D817" s="339"/>
      <c r="E817" s="164"/>
      <c r="F817" s="165"/>
      <c r="G817" s="249">
        <f>SUM(G791:G816)</f>
        <v>172000</v>
      </c>
      <c r="H817" s="244"/>
      <c r="I817" s="244"/>
      <c r="J817" s="244"/>
      <c r="K817" s="255"/>
      <c r="L817" s="226">
        <f>SUM(L792:L816)</f>
        <v>172000</v>
      </c>
      <c r="M817" s="202">
        <f>SUM(M792:M816)</f>
        <v>745000</v>
      </c>
      <c r="N817" s="244">
        <f>M817*1.23</f>
        <v>916350</v>
      </c>
      <c r="O817" s="203">
        <f>SUM(O792:O816)</f>
        <v>244000</v>
      </c>
      <c r="P817" s="244">
        <f>O817*1.46</f>
        <v>356240</v>
      </c>
      <c r="Q817" s="201"/>
      <c r="R817" s="255"/>
      <c r="S817" s="159">
        <f t="shared" si="39"/>
        <v>1444590</v>
      </c>
      <c r="T817" s="235"/>
      <c r="U817" s="161"/>
    </row>
    <row r="818" spans="1:21" s="233" customFormat="1" hidden="1" outlineLevel="3">
      <c r="A818" s="232"/>
      <c r="B818" s="151" t="s">
        <v>44</v>
      </c>
      <c r="C818" s="171"/>
      <c r="D818" s="343"/>
      <c r="E818" s="157"/>
      <c r="F818" s="158"/>
      <c r="G818" s="197"/>
      <c r="H818" s="157"/>
      <c r="I818" s="157"/>
      <c r="J818" s="157"/>
      <c r="K818" s="215"/>
      <c r="L818" s="155"/>
      <c r="M818" s="156"/>
      <c r="N818" s="250"/>
      <c r="O818" s="157"/>
      <c r="P818" s="248"/>
      <c r="Q818" s="158"/>
      <c r="R818" s="255"/>
      <c r="S818" s="159"/>
      <c r="T818" s="225"/>
      <c r="U818" s="170"/>
    </row>
    <row r="819" spans="1:21" ht="15.75" hidden="1" outlineLevel="3">
      <c r="A819" s="162"/>
      <c r="B819" s="152"/>
      <c r="C819" s="151" t="s">
        <v>503</v>
      </c>
      <c r="D819" s="339"/>
      <c r="E819" s="164"/>
      <c r="F819" s="165"/>
      <c r="G819" s="172"/>
      <c r="H819" s="164"/>
      <c r="I819" s="164"/>
      <c r="J819" s="164"/>
      <c r="K819" s="223"/>
      <c r="L819" s="234"/>
      <c r="M819" s="202"/>
      <c r="N819" s="250"/>
      <c r="O819" s="203"/>
      <c r="P819" s="248"/>
      <c r="Q819" s="201"/>
      <c r="R819" s="255"/>
      <c r="S819" s="226"/>
      <c r="T819" s="235"/>
      <c r="U819" s="170"/>
    </row>
    <row r="820" spans="1:21" ht="15.75" hidden="1" outlineLevel="3">
      <c r="A820" s="162"/>
      <c r="B820" s="152"/>
      <c r="C820" s="236" t="s">
        <v>520</v>
      </c>
      <c r="D820" s="344"/>
      <c r="E820" s="164"/>
      <c r="F820" s="165"/>
      <c r="G820" s="172"/>
      <c r="H820" s="164"/>
      <c r="I820" s="164"/>
      <c r="J820" s="164"/>
      <c r="K820" s="223"/>
      <c r="L820" s="234"/>
      <c r="M820" s="202"/>
      <c r="N820" s="250"/>
      <c r="O820" s="203"/>
      <c r="P820" s="248"/>
      <c r="Q820" s="201"/>
      <c r="R820" s="255"/>
      <c r="S820" s="226"/>
      <c r="T820" s="235"/>
      <c r="U820" s="170"/>
    </row>
    <row r="821" spans="1:21" ht="15.75" hidden="1" outlineLevel="3">
      <c r="A821" s="162"/>
      <c r="B821" s="152"/>
      <c r="C821" s="236" t="s">
        <v>478</v>
      </c>
      <c r="D821" s="344"/>
      <c r="E821" s="164"/>
      <c r="F821" s="165"/>
      <c r="G821" s="172"/>
      <c r="H821" s="164"/>
      <c r="I821" s="164"/>
      <c r="J821" s="164"/>
      <c r="K821" s="223"/>
      <c r="L821" s="234"/>
      <c r="M821" s="202"/>
      <c r="N821" s="250"/>
      <c r="O821" s="203"/>
      <c r="P821" s="248"/>
      <c r="Q821" s="201"/>
      <c r="R821" s="255"/>
      <c r="S821" s="226"/>
      <c r="T821" s="235"/>
      <c r="U821" s="170"/>
    </row>
    <row r="822" spans="1:21" ht="15.75" hidden="1" outlineLevel="3">
      <c r="A822" s="162"/>
      <c r="B822" s="152"/>
      <c r="C822" s="236" t="s">
        <v>479</v>
      </c>
      <c r="D822" s="344"/>
      <c r="E822" s="164"/>
      <c r="F822" s="165"/>
      <c r="G822" s="172"/>
      <c r="H822" s="164"/>
      <c r="I822" s="164"/>
      <c r="J822" s="164"/>
      <c r="K822" s="223"/>
      <c r="L822" s="220"/>
      <c r="M822" s="204"/>
      <c r="N822" s="250"/>
      <c r="O822" s="203"/>
      <c r="P822" s="248"/>
      <c r="Q822" s="201"/>
      <c r="R822" s="255"/>
      <c r="S822" s="226"/>
      <c r="T822" s="235"/>
      <c r="U822" s="170"/>
    </row>
    <row r="823" spans="1:21" ht="15.75" hidden="1" outlineLevel="3">
      <c r="A823" s="162"/>
      <c r="B823" s="152"/>
      <c r="C823" s="236" t="s">
        <v>480</v>
      </c>
      <c r="D823" s="344"/>
      <c r="E823" s="164"/>
      <c r="F823" s="165"/>
      <c r="G823" s="172"/>
      <c r="H823" s="164"/>
      <c r="I823" s="164"/>
      <c r="J823" s="164"/>
      <c r="K823" s="223"/>
      <c r="L823" s="234"/>
      <c r="M823" s="202"/>
      <c r="N823" s="250"/>
      <c r="O823" s="203"/>
      <c r="P823" s="248"/>
      <c r="Q823" s="201"/>
      <c r="R823" s="255"/>
      <c r="S823" s="226"/>
      <c r="T823" s="235"/>
      <c r="U823" s="170"/>
    </row>
    <row r="824" spans="1:21" ht="15.75" hidden="1" outlineLevel="3">
      <c r="A824" s="162"/>
      <c r="B824" s="152"/>
      <c r="C824" s="236" t="s">
        <v>512</v>
      </c>
      <c r="D824" s="344"/>
      <c r="E824" s="164"/>
      <c r="F824" s="165"/>
      <c r="G824" s="172"/>
      <c r="H824" s="164"/>
      <c r="I824" s="164"/>
      <c r="J824" s="164"/>
      <c r="K824" s="223"/>
      <c r="L824" s="234"/>
      <c r="M824" s="202"/>
      <c r="N824" s="250"/>
      <c r="O824" s="203"/>
      <c r="P824" s="248"/>
      <c r="Q824" s="201"/>
      <c r="R824" s="255"/>
      <c r="S824" s="226"/>
      <c r="T824" s="235"/>
      <c r="U824" s="170"/>
    </row>
    <row r="825" spans="1:21" ht="15.75" hidden="1" outlineLevel="3">
      <c r="A825" s="162"/>
      <c r="B825" s="152"/>
      <c r="C825" s="151" t="s">
        <v>504</v>
      </c>
      <c r="D825" s="339"/>
      <c r="E825" s="164"/>
      <c r="F825" s="165"/>
      <c r="G825" s="172"/>
      <c r="H825" s="164"/>
      <c r="I825" s="164"/>
      <c r="J825" s="164"/>
      <c r="K825" s="223"/>
      <c r="L825" s="234"/>
      <c r="M825" s="202"/>
      <c r="N825" s="250"/>
      <c r="O825" s="203"/>
      <c r="P825" s="248"/>
      <c r="Q825" s="201"/>
      <c r="R825" s="255"/>
      <c r="S825" s="226"/>
      <c r="T825" s="235"/>
      <c r="U825" s="170"/>
    </row>
    <row r="826" spans="1:21" ht="15.75" hidden="1" outlineLevel="3">
      <c r="A826" s="162"/>
      <c r="B826" s="152"/>
      <c r="C826" s="236" t="s">
        <v>483</v>
      </c>
      <c r="D826" s="344"/>
      <c r="E826" s="164"/>
      <c r="F826" s="165"/>
      <c r="G826" s="172"/>
      <c r="H826" s="164"/>
      <c r="I826" s="164"/>
      <c r="J826" s="164"/>
      <c r="K826" s="223"/>
      <c r="L826" s="234"/>
      <c r="M826" s="202"/>
      <c r="N826" s="250"/>
      <c r="O826" s="203"/>
      <c r="P826" s="248"/>
      <c r="Q826" s="201"/>
      <c r="R826" s="255"/>
      <c r="S826" s="226"/>
      <c r="T826" s="235"/>
      <c r="U826" s="170"/>
    </row>
    <row r="827" spans="1:21" ht="15.75" hidden="1" outlineLevel="3">
      <c r="A827" s="162"/>
      <c r="B827" s="152"/>
      <c r="C827" s="236" t="s">
        <v>484</v>
      </c>
      <c r="D827" s="344"/>
      <c r="E827" s="164"/>
      <c r="F827" s="165"/>
      <c r="G827" s="172"/>
      <c r="H827" s="164"/>
      <c r="I827" s="164"/>
      <c r="J827" s="164"/>
      <c r="K827" s="223"/>
      <c r="L827" s="234"/>
      <c r="M827" s="202"/>
      <c r="N827" s="250"/>
      <c r="O827" s="203"/>
      <c r="P827" s="248"/>
      <c r="Q827" s="201"/>
      <c r="R827" s="255"/>
      <c r="S827" s="226"/>
      <c r="T827" s="235"/>
      <c r="U827" s="170"/>
    </row>
    <row r="828" spans="1:21" ht="15.75" hidden="1" outlineLevel="3">
      <c r="A828" s="162"/>
      <c r="B828" s="152"/>
      <c r="C828" s="236" t="s">
        <v>479</v>
      </c>
      <c r="D828" s="344"/>
      <c r="E828" s="164"/>
      <c r="F828" s="165"/>
      <c r="G828" s="172"/>
      <c r="H828" s="164"/>
      <c r="I828" s="164"/>
      <c r="J828" s="164"/>
      <c r="K828" s="223"/>
      <c r="L828" s="234"/>
      <c r="M828" s="202"/>
      <c r="N828" s="250"/>
      <c r="O828" s="203"/>
      <c r="P828" s="248"/>
      <c r="Q828" s="201"/>
      <c r="R828" s="255"/>
      <c r="S828" s="226"/>
      <c r="T828" s="235"/>
      <c r="U828" s="170"/>
    </row>
    <row r="829" spans="1:21" ht="15.75" hidden="1" outlineLevel="3">
      <c r="A829" s="162"/>
      <c r="B829" s="152"/>
      <c r="C829" s="236" t="s">
        <v>485</v>
      </c>
      <c r="D829" s="344"/>
      <c r="E829" s="164"/>
      <c r="F829" s="165"/>
      <c r="G829" s="172"/>
      <c r="H829" s="164"/>
      <c r="I829" s="164"/>
      <c r="J829" s="164"/>
      <c r="K829" s="223"/>
      <c r="L829" s="234"/>
      <c r="M829" s="202"/>
      <c r="N829" s="250"/>
      <c r="O829" s="203"/>
      <c r="P829" s="248"/>
      <c r="Q829" s="201"/>
      <c r="R829" s="255"/>
      <c r="S829" s="226"/>
      <c r="T829" s="235"/>
      <c r="U829" s="170"/>
    </row>
    <row r="830" spans="1:21" ht="15.75" hidden="1" outlineLevel="3">
      <c r="A830" s="162"/>
      <c r="B830" s="152"/>
      <c r="C830" s="151" t="s">
        <v>505</v>
      </c>
      <c r="D830" s="339"/>
      <c r="E830" s="164"/>
      <c r="F830" s="165"/>
      <c r="G830" s="172"/>
      <c r="H830" s="164"/>
      <c r="I830" s="164"/>
      <c r="J830" s="164"/>
      <c r="K830" s="223"/>
      <c r="L830" s="234"/>
      <c r="M830" s="202"/>
      <c r="N830" s="250"/>
      <c r="O830" s="203"/>
      <c r="P830" s="248"/>
      <c r="Q830" s="201"/>
      <c r="R830" s="255"/>
      <c r="S830" s="226"/>
      <c r="T830" s="235"/>
      <c r="U830" s="170"/>
    </row>
    <row r="831" spans="1:21" ht="15.75" hidden="1" outlineLevel="3">
      <c r="A831" s="162"/>
      <c r="B831" s="152"/>
      <c r="C831" s="236" t="s">
        <v>487</v>
      </c>
      <c r="D831" s="344"/>
      <c r="E831" s="164"/>
      <c r="F831" s="165"/>
      <c r="G831" s="172"/>
      <c r="H831" s="164"/>
      <c r="I831" s="164"/>
      <c r="J831" s="164"/>
      <c r="K831" s="223"/>
      <c r="L831" s="234"/>
      <c r="M831" s="202"/>
      <c r="N831" s="250"/>
      <c r="O831" s="203"/>
      <c r="P831" s="248"/>
      <c r="Q831" s="201"/>
      <c r="R831" s="255"/>
      <c r="S831" s="226"/>
      <c r="T831" s="235"/>
      <c r="U831" s="170"/>
    </row>
    <row r="832" spans="1:21" ht="15.75" hidden="1" outlineLevel="3">
      <c r="A832" s="162"/>
      <c r="B832" s="152"/>
      <c r="C832" s="236" t="s">
        <v>479</v>
      </c>
      <c r="D832" s="344"/>
      <c r="E832" s="164"/>
      <c r="F832" s="165"/>
      <c r="G832" s="172"/>
      <c r="H832" s="164"/>
      <c r="I832" s="164"/>
      <c r="J832" s="164"/>
      <c r="K832" s="223"/>
      <c r="L832" s="234"/>
      <c r="M832" s="202"/>
      <c r="N832" s="250"/>
      <c r="O832" s="203"/>
      <c r="P832" s="248"/>
      <c r="Q832" s="201"/>
      <c r="R832" s="255"/>
      <c r="S832" s="226"/>
      <c r="T832" s="235"/>
      <c r="U832" s="170"/>
    </row>
    <row r="833" spans="1:21" ht="15.75" hidden="1" outlineLevel="3">
      <c r="A833" s="162"/>
      <c r="B833" s="152"/>
      <c r="C833" s="236" t="s">
        <v>488</v>
      </c>
      <c r="D833" s="344"/>
      <c r="E833" s="164"/>
      <c r="F833" s="165"/>
      <c r="G833" s="172"/>
      <c r="H833" s="164"/>
      <c r="I833" s="164"/>
      <c r="J833" s="164"/>
      <c r="K833" s="223"/>
      <c r="L833" s="234"/>
      <c r="M833" s="202"/>
      <c r="N833" s="250"/>
      <c r="O833" s="203">
        <v>89000</v>
      </c>
      <c r="P833" s="248">
        <f>O833*1.46</f>
        <v>129940</v>
      </c>
      <c r="Q833" s="201"/>
      <c r="R833" s="255"/>
      <c r="S833" s="159">
        <f t="shared" ref="S833" si="41">SUM(L833,N833,P833,R833)</f>
        <v>129940</v>
      </c>
      <c r="T833" s="235"/>
      <c r="U833" s="170"/>
    </row>
    <row r="834" spans="1:21" ht="15.75" hidden="1" outlineLevel="3">
      <c r="A834" s="162"/>
      <c r="B834" s="152"/>
      <c r="C834" s="236" t="s">
        <v>489</v>
      </c>
      <c r="D834" s="344"/>
      <c r="E834" s="164"/>
      <c r="F834" s="165"/>
      <c r="G834" s="172"/>
      <c r="H834" s="164"/>
      <c r="I834" s="164"/>
      <c r="J834" s="164"/>
      <c r="K834" s="223"/>
      <c r="L834" s="234"/>
      <c r="M834" s="202"/>
      <c r="N834" s="250"/>
      <c r="O834" s="203"/>
      <c r="P834" s="248"/>
      <c r="Q834" s="201"/>
      <c r="R834" s="255"/>
      <c r="S834" s="226"/>
      <c r="T834" s="235"/>
      <c r="U834" s="170"/>
    </row>
    <row r="835" spans="1:21" ht="15.75" hidden="1" outlineLevel="3">
      <c r="A835" s="162"/>
      <c r="B835" s="152"/>
      <c r="C835" s="151" t="s">
        <v>506</v>
      </c>
      <c r="D835" s="339"/>
      <c r="E835" s="164"/>
      <c r="F835" s="165"/>
      <c r="G835" s="172"/>
      <c r="H835" s="164"/>
      <c r="I835" s="164"/>
      <c r="J835" s="164"/>
      <c r="K835" s="223"/>
      <c r="L835" s="234"/>
      <c r="M835" s="202"/>
      <c r="N835" s="250"/>
      <c r="O835" s="203"/>
      <c r="P835" s="248"/>
      <c r="Q835" s="201"/>
      <c r="R835" s="255"/>
      <c r="S835" s="226"/>
      <c r="T835" s="235"/>
      <c r="U835" s="170"/>
    </row>
    <row r="836" spans="1:21" ht="15.75" hidden="1" outlineLevel="3">
      <c r="A836" s="162"/>
      <c r="B836" s="152"/>
      <c r="C836" s="236" t="s">
        <v>491</v>
      </c>
      <c r="D836" s="344"/>
      <c r="E836" s="164"/>
      <c r="F836" s="165"/>
      <c r="G836" s="172"/>
      <c r="H836" s="164"/>
      <c r="I836" s="164"/>
      <c r="J836" s="164"/>
      <c r="K836" s="223"/>
      <c r="L836" s="234"/>
      <c r="M836" s="202"/>
      <c r="N836" s="250"/>
      <c r="O836" s="203"/>
      <c r="P836" s="248"/>
      <c r="Q836" s="201"/>
      <c r="R836" s="255"/>
      <c r="S836" s="226"/>
      <c r="T836" s="235"/>
      <c r="U836" s="170"/>
    </row>
    <row r="837" spans="1:21" ht="15.75" hidden="1" outlineLevel="3">
      <c r="A837" s="162"/>
      <c r="B837" s="152"/>
      <c r="C837" s="236" t="s">
        <v>492</v>
      </c>
      <c r="D837" s="344"/>
      <c r="E837" s="211"/>
      <c r="F837" s="211"/>
      <c r="G837" s="172"/>
      <c r="H837" s="164"/>
      <c r="I837" s="164"/>
      <c r="J837" s="164"/>
      <c r="K837" s="223"/>
      <c r="L837" s="234"/>
      <c r="M837" s="202"/>
      <c r="N837" s="250"/>
      <c r="O837" s="203">
        <v>192000</v>
      </c>
      <c r="P837" s="248">
        <f>O837*1.46</f>
        <v>280320</v>
      </c>
      <c r="Q837" s="201"/>
      <c r="R837" s="255"/>
      <c r="S837" s="159">
        <f t="shared" ref="S837" si="42">SUM(L837,N837,P837,R837)</f>
        <v>280320</v>
      </c>
      <c r="T837" s="235"/>
      <c r="U837" s="170"/>
    </row>
    <row r="838" spans="1:21" ht="15.75" hidden="1" outlineLevel="3">
      <c r="A838" s="162"/>
      <c r="B838" s="152"/>
      <c r="C838" s="236" t="s">
        <v>493</v>
      </c>
      <c r="D838" s="344"/>
      <c r="E838" s="164"/>
      <c r="F838" s="165"/>
      <c r="G838" s="172"/>
      <c r="H838" s="164"/>
      <c r="I838" s="164"/>
      <c r="J838" s="164"/>
      <c r="K838" s="223"/>
      <c r="L838" s="234"/>
      <c r="M838" s="202"/>
      <c r="N838" s="250"/>
      <c r="O838" s="203"/>
      <c r="P838" s="248"/>
      <c r="Q838" s="201"/>
      <c r="R838" s="255"/>
      <c r="S838" s="226"/>
      <c r="T838" s="235"/>
      <c r="U838" s="170"/>
    </row>
    <row r="839" spans="1:21" ht="15.75" hidden="1" outlineLevel="3">
      <c r="A839" s="162"/>
      <c r="B839" s="152"/>
      <c r="C839" s="236" t="s">
        <v>494</v>
      </c>
      <c r="D839" s="344"/>
      <c r="E839" s="164"/>
      <c r="F839" s="165"/>
      <c r="G839" s="172"/>
      <c r="H839" s="164"/>
      <c r="I839" s="164"/>
      <c r="J839" s="164"/>
      <c r="K839" s="223"/>
      <c r="L839" s="234"/>
      <c r="M839" s="202"/>
      <c r="N839" s="250"/>
      <c r="O839" s="203"/>
      <c r="P839" s="248"/>
      <c r="Q839" s="201"/>
      <c r="R839" s="255"/>
      <c r="S839" s="226"/>
      <c r="T839" s="235"/>
      <c r="U839" s="161"/>
    </row>
    <row r="840" spans="1:21" ht="15.75" hidden="1" outlineLevel="3">
      <c r="A840" s="162"/>
      <c r="B840" s="152"/>
      <c r="C840" s="151" t="s">
        <v>507</v>
      </c>
      <c r="D840" s="339"/>
      <c r="E840" s="164"/>
      <c r="F840" s="165"/>
      <c r="G840" s="172"/>
      <c r="H840" s="164"/>
      <c r="I840" s="164"/>
      <c r="J840" s="164"/>
      <c r="K840" s="223"/>
      <c r="L840" s="234"/>
      <c r="M840" s="202"/>
      <c r="N840" s="250"/>
      <c r="O840" s="203"/>
      <c r="P840" s="248"/>
      <c r="Q840" s="201"/>
      <c r="R840" s="255"/>
      <c r="S840" s="226"/>
      <c r="T840" s="235"/>
      <c r="U840" s="170"/>
    </row>
    <row r="841" spans="1:21" ht="15.75" hidden="1" outlineLevel="3">
      <c r="A841" s="162"/>
      <c r="B841" s="152"/>
      <c r="C841" s="174" t="s">
        <v>496</v>
      </c>
      <c r="D841" s="340"/>
      <c r="E841" s="164"/>
      <c r="F841" s="165"/>
      <c r="G841" s="172"/>
      <c r="H841" s="164"/>
      <c r="I841" s="164"/>
      <c r="J841" s="164"/>
      <c r="K841" s="223"/>
      <c r="L841" s="234"/>
      <c r="M841" s="202"/>
      <c r="N841" s="250"/>
      <c r="O841" s="203"/>
      <c r="P841" s="248"/>
      <c r="Q841" s="201"/>
      <c r="R841" s="255"/>
      <c r="S841" s="226"/>
      <c r="T841" s="235"/>
      <c r="U841" s="170"/>
    </row>
    <row r="842" spans="1:21" ht="15.75" hidden="1" outlineLevel="3">
      <c r="A842" s="162"/>
      <c r="B842" s="152"/>
      <c r="C842" s="174" t="s">
        <v>497</v>
      </c>
      <c r="D842" s="340"/>
      <c r="E842" s="164"/>
      <c r="F842" s="165"/>
      <c r="G842" s="172"/>
      <c r="H842" s="164"/>
      <c r="I842" s="164"/>
      <c r="J842" s="164"/>
      <c r="K842" s="223"/>
      <c r="L842" s="234"/>
      <c r="M842" s="202"/>
      <c r="N842" s="250"/>
      <c r="O842" s="203"/>
      <c r="P842" s="248"/>
      <c r="Q842" s="201"/>
      <c r="R842" s="255"/>
      <c r="S842" s="226"/>
      <c r="T842" s="235"/>
      <c r="U842" s="170"/>
    </row>
    <row r="843" spans="1:21" ht="15.75" hidden="1" outlineLevel="3">
      <c r="A843" s="162"/>
      <c r="B843" s="152"/>
      <c r="C843" s="174" t="s">
        <v>499</v>
      </c>
      <c r="D843" s="340"/>
      <c r="E843" s="164"/>
      <c r="F843" s="165"/>
      <c r="G843" s="172"/>
      <c r="H843" s="164"/>
      <c r="I843" s="164"/>
      <c r="J843" s="164"/>
      <c r="K843" s="223"/>
      <c r="L843" s="234"/>
      <c r="M843" s="202"/>
      <c r="N843" s="250"/>
      <c r="O843" s="203"/>
      <c r="P843" s="248"/>
      <c r="Q843" s="201"/>
      <c r="R843" s="255"/>
      <c r="S843" s="226"/>
      <c r="T843" s="235"/>
      <c r="U843" s="170"/>
    </row>
    <row r="844" spans="1:21" ht="15.75" hidden="1" outlineLevel="3">
      <c r="A844" s="162"/>
      <c r="B844" s="152"/>
      <c r="C844" s="174" t="s">
        <v>379</v>
      </c>
      <c r="D844" s="340"/>
      <c r="E844" s="164"/>
      <c r="F844" s="165"/>
      <c r="G844" s="172"/>
      <c r="H844" s="164"/>
      <c r="I844" s="164"/>
      <c r="J844" s="164"/>
      <c r="K844" s="223"/>
      <c r="L844" s="234"/>
      <c r="M844" s="202"/>
      <c r="N844" s="250"/>
      <c r="O844" s="203"/>
      <c r="P844" s="248"/>
      <c r="Q844" s="201">
        <v>100000</v>
      </c>
      <c r="R844" s="255">
        <f>Q844*1.73</f>
        <v>173000</v>
      </c>
      <c r="S844" s="159">
        <f t="shared" ref="S844:S845" si="43">SUM(L844,N844,P844,R844)</f>
        <v>173000</v>
      </c>
      <c r="T844" s="235"/>
      <c r="U844" s="161" t="s">
        <v>701</v>
      </c>
    </row>
    <row r="845" spans="1:21" ht="15.75" hidden="1" outlineLevel="2" collapsed="1">
      <c r="A845" s="162"/>
      <c r="B845" s="152"/>
      <c r="C845" s="151" t="s">
        <v>44</v>
      </c>
      <c r="D845" s="339"/>
      <c r="E845" s="164"/>
      <c r="F845" s="165"/>
      <c r="G845" s="172"/>
      <c r="H845" s="164"/>
      <c r="I845" s="164"/>
      <c r="J845" s="164"/>
      <c r="K845" s="223"/>
      <c r="L845" s="226"/>
      <c r="M845" s="202"/>
      <c r="N845" s="244"/>
      <c r="O845" s="203">
        <f>SUM(O829:O844)</f>
        <v>281000</v>
      </c>
      <c r="P845" s="244">
        <f>O845*1.46</f>
        <v>410260</v>
      </c>
      <c r="Q845" s="201">
        <f>SUM(Q829:Q844)</f>
        <v>100000</v>
      </c>
      <c r="R845" s="255">
        <f>Q845*1.73</f>
        <v>173000</v>
      </c>
      <c r="S845" s="159">
        <f t="shared" si="43"/>
        <v>583260</v>
      </c>
      <c r="T845" s="235"/>
      <c r="U845" s="161"/>
    </row>
    <row r="846" spans="1:21" s="233" customFormat="1" hidden="1" outlineLevel="3">
      <c r="A846" s="232"/>
      <c r="B846" s="151" t="s">
        <v>692</v>
      </c>
      <c r="C846" s="171"/>
      <c r="D846" s="343"/>
      <c r="E846" s="157"/>
      <c r="F846" s="158"/>
      <c r="G846" s="197"/>
      <c r="H846" s="157"/>
      <c r="I846" s="157"/>
      <c r="J846" s="157"/>
      <c r="K846" s="215"/>
      <c r="L846" s="155"/>
      <c r="M846" s="156"/>
      <c r="N846" s="250"/>
      <c r="O846" s="157"/>
      <c r="P846" s="248"/>
      <c r="Q846" s="158"/>
      <c r="R846" s="255"/>
      <c r="S846" s="159"/>
      <c r="T846" s="225"/>
      <c r="U846" s="555" t="s">
        <v>693</v>
      </c>
    </row>
    <row r="847" spans="1:21" ht="15.75" hidden="1" outlineLevel="3">
      <c r="A847" s="162"/>
      <c r="B847" s="152"/>
      <c r="C847" s="151" t="s">
        <v>503</v>
      </c>
      <c r="D847" s="339"/>
      <c r="E847" s="164"/>
      <c r="F847" s="165"/>
      <c r="G847" s="172"/>
      <c r="H847" s="164"/>
      <c r="I847" s="164"/>
      <c r="J847" s="164"/>
      <c r="K847" s="223"/>
      <c r="L847" s="234"/>
      <c r="M847" s="202"/>
      <c r="N847" s="250"/>
      <c r="O847" s="203"/>
      <c r="P847" s="248"/>
      <c r="Q847" s="201"/>
      <c r="R847" s="255"/>
      <c r="S847" s="226"/>
      <c r="T847" s="235"/>
      <c r="U847" s="170"/>
    </row>
    <row r="848" spans="1:21" ht="15.75" hidden="1" outlineLevel="3">
      <c r="A848" s="162"/>
      <c r="B848" s="152"/>
      <c r="C848" s="236" t="s">
        <v>520</v>
      </c>
      <c r="D848" s="344"/>
      <c r="E848" s="164"/>
      <c r="F848" s="165"/>
      <c r="G848" s="172"/>
      <c r="H848" s="164"/>
      <c r="I848" s="164"/>
      <c r="J848" s="164"/>
      <c r="K848" s="218"/>
      <c r="L848" s="234"/>
      <c r="M848" s="474">
        <v>125000</v>
      </c>
      <c r="N848" s="250">
        <f>M848*1.23</f>
        <v>153750</v>
      </c>
      <c r="O848" s="203"/>
      <c r="P848" s="248"/>
      <c r="Q848" s="201"/>
      <c r="R848" s="255"/>
      <c r="S848" s="159">
        <f t="shared" ref="S848" si="44">SUM(L848,N848,P848,R848)</f>
        <v>153750</v>
      </c>
      <c r="T848" s="235"/>
      <c r="U848" s="170" t="s">
        <v>694</v>
      </c>
    </row>
    <row r="849" spans="1:21" ht="15.75" hidden="1" outlineLevel="3">
      <c r="A849" s="162"/>
      <c r="B849" s="152"/>
      <c r="C849" s="236" t="s">
        <v>478</v>
      </c>
      <c r="D849" s="344"/>
      <c r="E849" s="164"/>
      <c r="F849" s="165"/>
      <c r="G849" s="172"/>
      <c r="H849" s="164"/>
      <c r="I849" s="164"/>
      <c r="J849" s="164"/>
      <c r="K849" s="223"/>
      <c r="L849" s="234"/>
      <c r="M849" s="202"/>
      <c r="N849" s="250"/>
      <c r="O849" s="203"/>
      <c r="P849" s="248"/>
      <c r="Q849" s="201"/>
      <c r="R849" s="255"/>
      <c r="S849" s="226"/>
      <c r="T849" s="235"/>
      <c r="U849" s="170"/>
    </row>
    <row r="850" spans="1:21" ht="15.75" hidden="1" outlineLevel="3">
      <c r="A850" s="162"/>
      <c r="B850" s="152"/>
      <c r="C850" s="236" t="s">
        <v>479</v>
      </c>
      <c r="D850" s="344"/>
      <c r="E850" s="164"/>
      <c r="F850" s="165"/>
      <c r="G850" s="172"/>
      <c r="H850" s="164"/>
      <c r="I850" s="164"/>
      <c r="J850" s="164"/>
      <c r="K850" s="223"/>
      <c r="L850" s="220"/>
      <c r="M850" s="204"/>
      <c r="N850" s="250"/>
      <c r="O850" s="203"/>
      <c r="P850" s="248"/>
      <c r="Q850" s="201"/>
      <c r="R850" s="255"/>
      <c r="S850" s="226"/>
      <c r="T850" s="235"/>
      <c r="U850" s="170"/>
    </row>
    <row r="851" spans="1:21" ht="15.75" hidden="1" outlineLevel="3">
      <c r="A851" s="162"/>
      <c r="B851" s="152"/>
      <c r="C851" s="236" t="s">
        <v>480</v>
      </c>
      <c r="D851" s="344"/>
      <c r="E851" s="164"/>
      <c r="F851" s="165"/>
      <c r="G851" s="172"/>
      <c r="H851" s="164"/>
      <c r="I851" s="164"/>
      <c r="J851" s="164"/>
      <c r="K851" s="223"/>
      <c r="L851" s="234"/>
      <c r="M851" s="202"/>
      <c r="N851" s="250"/>
      <c r="O851" s="203"/>
      <c r="P851" s="248"/>
      <c r="Q851" s="201"/>
      <c r="R851" s="255"/>
      <c r="S851" s="226"/>
      <c r="T851" s="235"/>
      <c r="U851" s="170"/>
    </row>
    <row r="852" spans="1:21" ht="15.75" hidden="1" outlineLevel="3">
      <c r="A852" s="162"/>
      <c r="B852" s="152"/>
      <c r="C852" s="236" t="s">
        <v>512</v>
      </c>
      <c r="D852" s="344"/>
      <c r="E852" s="164"/>
      <c r="F852" s="165"/>
      <c r="G852" s="172"/>
      <c r="H852" s="164"/>
      <c r="I852" s="164"/>
      <c r="J852" s="164"/>
      <c r="K852" s="223"/>
      <c r="L852" s="234"/>
      <c r="M852" s="202"/>
      <c r="N852" s="250"/>
      <c r="O852" s="203"/>
      <c r="P852" s="248"/>
      <c r="Q852" s="201"/>
      <c r="R852" s="255"/>
      <c r="S852" s="226"/>
      <c r="T852" s="235"/>
      <c r="U852" s="170"/>
    </row>
    <row r="853" spans="1:21" ht="15.75" hidden="1" outlineLevel="3">
      <c r="A853" s="162"/>
      <c r="B853" s="152"/>
      <c r="C853" s="151" t="s">
        <v>504</v>
      </c>
      <c r="D853" s="339"/>
      <c r="E853" s="164"/>
      <c r="F853" s="165"/>
      <c r="G853" s="172"/>
      <c r="H853" s="164"/>
      <c r="I853" s="164"/>
      <c r="J853" s="164"/>
      <c r="K853" s="223"/>
      <c r="L853" s="234"/>
      <c r="M853" s="202"/>
      <c r="N853" s="250"/>
      <c r="O853" s="203"/>
      <c r="P853" s="248"/>
      <c r="Q853" s="201"/>
      <c r="R853" s="255"/>
      <c r="S853" s="226"/>
      <c r="T853" s="235"/>
      <c r="U853" s="170"/>
    </row>
    <row r="854" spans="1:21" ht="15.75" hidden="1" outlineLevel="3">
      <c r="A854" s="162"/>
      <c r="B854" s="152"/>
      <c r="C854" s="236" t="s">
        <v>483</v>
      </c>
      <c r="D854" s="344"/>
      <c r="E854" s="164"/>
      <c r="F854" s="165"/>
      <c r="G854" s="172"/>
      <c r="H854" s="164"/>
      <c r="I854" s="164"/>
      <c r="J854" s="164"/>
      <c r="K854" s="223"/>
      <c r="L854" s="234"/>
      <c r="M854" s="202"/>
      <c r="N854" s="250"/>
      <c r="O854" s="203"/>
      <c r="P854" s="248"/>
      <c r="Q854" s="201"/>
      <c r="R854" s="255"/>
      <c r="S854" s="226"/>
      <c r="T854" s="235"/>
      <c r="U854" s="170"/>
    </row>
    <row r="855" spans="1:21" ht="15.75" hidden="1" outlineLevel="3">
      <c r="A855" s="162"/>
      <c r="B855" s="152"/>
      <c r="C855" s="236" t="s">
        <v>484</v>
      </c>
      <c r="D855" s="344"/>
      <c r="E855" s="164"/>
      <c r="F855" s="165"/>
      <c r="G855" s="172"/>
      <c r="H855" s="164"/>
      <c r="I855" s="164"/>
      <c r="J855" s="164"/>
      <c r="K855" s="223"/>
      <c r="L855" s="234"/>
      <c r="M855" s="202"/>
      <c r="N855" s="250"/>
      <c r="O855" s="203"/>
      <c r="P855" s="248"/>
      <c r="Q855" s="201"/>
      <c r="R855" s="255"/>
      <c r="S855" s="226"/>
      <c r="T855" s="235"/>
      <c r="U855" s="170"/>
    </row>
    <row r="856" spans="1:21" ht="15.75" hidden="1" outlineLevel="3">
      <c r="A856" s="162"/>
      <c r="B856" s="152"/>
      <c r="C856" s="236" t="s">
        <v>479</v>
      </c>
      <c r="D856" s="344"/>
      <c r="E856" s="164"/>
      <c r="F856" s="165"/>
      <c r="G856" s="172"/>
      <c r="H856" s="164"/>
      <c r="I856" s="164"/>
      <c r="J856" s="164"/>
      <c r="K856" s="223"/>
      <c r="L856" s="234"/>
      <c r="M856" s="202"/>
      <c r="N856" s="250"/>
      <c r="O856" s="203"/>
      <c r="P856" s="248"/>
      <c r="Q856" s="201"/>
      <c r="R856" s="255"/>
      <c r="S856" s="159"/>
      <c r="T856" s="235"/>
      <c r="U856" s="170"/>
    </row>
    <row r="857" spans="1:21" ht="15.75" hidden="1" outlineLevel="3">
      <c r="A857" s="162"/>
      <c r="B857" s="152"/>
      <c r="C857" s="236" t="s">
        <v>485</v>
      </c>
      <c r="D857" s="344"/>
      <c r="E857" s="164"/>
      <c r="F857" s="165"/>
      <c r="G857" s="172"/>
      <c r="H857" s="164"/>
      <c r="I857" s="164"/>
      <c r="J857" s="164"/>
      <c r="K857" s="223"/>
      <c r="L857" s="234"/>
      <c r="M857" s="202"/>
      <c r="N857" s="250"/>
      <c r="O857" s="203"/>
      <c r="P857" s="248"/>
      <c r="Q857" s="201"/>
      <c r="R857" s="255"/>
      <c r="S857" s="226"/>
      <c r="T857" s="235"/>
      <c r="U857" s="170"/>
    </row>
    <row r="858" spans="1:21" ht="15.75" hidden="1" outlineLevel="3">
      <c r="A858" s="162"/>
      <c r="B858" s="152"/>
      <c r="C858" s="151" t="s">
        <v>505</v>
      </c>
      <c r="D858" s="339"/>
      <c r="E858" s="164"/>
      <c r="F858" s="165"/>
      <c r="G858" s="172"/>
      <c r="H858" s="164"/>
      <c r="I858" s="164"/>
      <c r="J858" s="164"/>
      <c r="K858" s="223"/>
      <c r="L858" s="234"/>
      <c r="M858" s="202"/>
      <c r="N858" s="250"/>
      <c r="O858" s="203"/>
      <c r="P858" s="248"/>
      <c r="Q858" s="201"/>
      <c r="R858" s="255"/>
      <c r="S858" s="226"/>
      <c r="T858" s="235"/>
      <c r="U858" s="170"/>
    </row>
    <row r="859" spans="1:21" ht="15.75" hidden="1" outlineLevel="3">
      <c r="A859" s="162"/>
      <c r="B859" s="152"/>
      <c r="C859" s="236" t="s">
        <v>487</v>
      </c>
      <c r="D859" s="344"/>
      <c r="E859" s="164"/>
      <c r="F859" s="165"/>
      <c r="G859" s="172"/>
      <c r="H859" s="164"/>
      <c r="I859" s="164"/>
      <c r="J859" s="164"/>
      <c r="K859" s="223"/>
      <c r="L859" s="234"/>
      <c r="M859" s="202"/>
      <c r="N859" s="250"/>
      <c r="O859" s="203"/>
      <c r="P859" s="248"/>
      <c r="Q859" s="201"/>
      <c r="R859" s="255"/>
      <c r="S859" s="226"/>
      <c r="T859" s="235"/>
      <c r="U859" s="170"/>
    </row>
    <row r="860" spans="1:21" ht="15.75" hidden="1" outlineLevel="3">
      <c r="A860" s="162"/>
      <c r="B860" s="152"/>
      <c r="C860" s="236" t="s">
        <v>479</v>
      </c>
      <c r="D860" s="344"/>
      <c r="E860" s="164"/>
      <c r="F860" s="165"/>
      <c r="G860" s="172"/>
      <c r="H860" s="164"/>
      <c r="I860" s="164"/>
      <c r="J860" s="164"/>
      <c r="K860" s="223"/>
      <c r="L860" s="234"/>
      <c r="M860" s="202"/>
      <c r="N860" s="250"/>
      <c r="O860" s="203"/>
      <c r="P860" s="248"/>
      <c r="Q860" s="201"/>
      <c r="R860" s="255"/>
      <c r="S860" s="226"/>
      <c r="T860" s="235"/>
      <c r="U860" s="170"/>
    </row>
    <row r="861" spans="1:21" ht="15.75" hidden="1" outlineLevel="3">
      <c r="A861" s="162"/>
      <c r="B861" s="152"/>
      <c r="C861" s="236" t="s">
        <v>488</v>
      </c>
      <c r="D861" s="344"/>
      <c r="E861" s="164"/>
      <c r="F861" s="165"/>
      <c r="G861" s="172"/>
      <c r="H861" s="164"/>
      <c r="I861" s="164"/>
      <c r="J861" s="164"/>
      <c r="K861" s="223"/>
      <c r="L861" s="234"/>
      <c r="M861" s="202"/>
      <c r="N861" s="250"/>
      <c r="O861" s="203"/>
      <c r="P861" s="248"/>
      <c r="Q861" s="201"/>
      <c r="R861" s="255"/>
      <c r="S861" s="226"/>
      <c r="T861" s="235"/>
      <c r="U861" s="170"/>
    </row>
    <row r="862" spans="1:21" ht="15.75" hidden="1" outlineLevel="3">
      <c r="A862" s="162"/>
      <c r="B862" s="152"/>
      <c r="C862" s="236" t="s">
        <v>489</v>
      </c>
      <c r="D862" s="344"/>
      <c r="E862" s="164"/>
      <c r="F862" s="165"/>
      <c r="G862" s="172"/>
      <c r="H862" s="164"/>
      <c r="I862" s="164"/>
      <c r="J862" s="164"/>
      <c r="K862" s="223"/>
      <c r="L862" s="234"/>
      <c r="M862" s="202"/>
      <c r="N862" s="250"/>
      <c r="O862" s="203"/>
      <c r="P862" s="248"/>
      <c r="Q862" s="201"/>
      <c r="R862" s="255"/>
      <c r="S862" s="226"/>
      <c r="T862" s="235"/>
      <c r="U862" s="170"/>
    </row>
    <row r="863" spans="1:21" ht="15.75" hidden="1" outlineLevel="3">
      <c r="A863" s="162"/>
      <c r="B863" s="152"/>
      <c r="C863" s="151" t="s">
        <v>506</v>
      </c>
      <c r="D863" s="339"/>
      <c r="E863" s="164"/>
      <c r="F863" s="165"/>
      <c r="G863" s="172"/>
      <c r="H863" s="164"/>
      <c r="I863" s="164"/>
      <c r="J863" s="164"/>
      <c r="K863" s="223"/>
      <c r="L863" s="234"/>
      <c r="M863" s="202"/>
      <c r="N863" s="250"/>
      <c r="O863" s="203"/>
      <c r="P863" s="248"/>
      <c r="Q863" s="201"/>
      <c r="R863" s="255"/>
      <c r="S863" s="226"/>
      <c r="T863" s="235"/>
      <c r="U863" s="170" t="s">
        <v>695</v>
      </c>
    </row>
    <row r="864" spans="1:21" ht="15.75" hidden="1" outlineLevel="3">
      <c r="A864" s="162"/>
      <c r="B864" s="152"/>
      <c r="C864" s="236" t="s">
        <v>491</v>
      </c>
      <c r="D864" s="344"/>
      <c r="E864" s="164"/>
      <c r="F864" s="165"/>
      <c r="G864" s="172"/>
      <c r="H864" s="164"/>
      <c r="I864" s="164"/>
      <c r="J864" s="164"/>
      <c r="K864" s="223"/>
      <c r="L864" s="234"/>
      <c r="M864" s="202"/>
      <c r="N864" s="250"/>
      <c r="O864" s="203"/>
      <c r="P864" s="248"/>
      <c r="Q864" s="201"/>
      <c r="R864" s="255"/>
      <c r="S864" s="226"/>
      <c r="T864" s="235"/>
      <c r="U864" s="170"/>
    </row>
    <row r="865" spans="1:21" ht="15.75" hidden="1" outlineLevel="3">
      <c r="A865" s="162"/>
      <c r="B865" s="152"/>
      <c r="C865" s="236" t="s">
        <v>492</v>
      </c>
      <c r="D865" s="344"/>
      <c r="E865" s="164"/>
      <c r="F865" s="165"/>
      <c r="G865" s="172"/>
      <c r="H865" s="164"/>
      <c r="I865" s="164"/>
      <c r="J865" s="219"/>
      <c r="K865" s="223"/>
      <c r="L865" s="234"/>
      <c r="M865" s="203">
        <v>127000</v>
      </c>
      <c r="N865" s="250">
        <f>M865*1.23</f>
        <v>156210</v>
      </c>
      <c r="O865" s="203"/>
      <c r="P865" s="248"/>
      <c r="Q865" s="201"/>
      <c r="R865" s="255"/>
      <c r="S865" s="159">
        <f t="shared" ref="S865:S866" si="45">SUM(L865,N865,P865,R865)</f>
        <v>156210</v>
      </c>
      <c r="T865" s="235"/>
      <c r="U865" s="170"/>
    </row>
    <row r="866" spans="1:21" ht="15.75" hidden="1" outlineLevel="3">
      <c r="A866" s="162"/>
      <c r="B866" s="152"/>
      <c r="C866" s="236" t="s">
        <v>493</v>
      </c>
      <c r="D866" s="344"/>
      <c r="E866" s="164"/>
      <c r="F866" s="165"/>
      <c r="G866" s="172"/>
      <c r="H866" s="164"/>
      <c r="I866" s="164"/>
      <c r="J866" s="219"/>
      <c r="K866" s="223"/>
      <c r="L866" s="234"/>
      <c r="M866" s="259">
        <v>128000</v>
      </c>
      <c r="N866" s="250">
        <f>M866*1.23</f>
        <v>157440</v>
      </c>
      <c r="O866" s="203"/>
      <c r="P866" s="248"/>
      <c r="Q866" s="201"/>
      <c r="R866" s="255"/>
      <c r="S866" s="159">
        <f t="shared" si="45"/>
        <v>157440</v>
      </c>
      <c r="T866" s="235"/>
      <c r="U866" s="170"/>
    </row>
    <row r="867" spans="1:21" ht="15.75" hidden="1" outlineLevel="3">
      <c r="A867" s="162"/>
      <c r="B867" s="152"/>
      <c r="C867" s="236" t="s">
        <v>494</v>
      </c>
      <c r="D867" s="344"/>
      <c r="E867" s="164"/>
      <c r="F867" s="165"/>
      <c r="G867" s="172"/>
      <c r="H867" s="164"/>
      <c r="I867" s="164"/>
      <c r="J867" s="164"/>
      <c r="K867" s="223"/>
      <c r="L867" s="234"/>
      <c r="M867" s="202"/>
      <c r="N867" s="250"/>
      <c r="O867" s="203"/>
      <c r="P867" s="248"/>
      <c r="Q867" s="201"/>
      <c r="R867" s="255"/>
      <c r="S867" s="226"/>
      <c r="T867" s="235"/>
      <c r="U867" s="161"/>
    </row>
    <row r="868" spans="1:21" ht="15.75" hidden="1" outlineLevel="3">
      <c r="A868" s="162"/>
      <c r="B868" s="152"/>
      <c r="C868" s="151" t="s">
        <v>507</v>
      </c>
      <c r="D868" s="339"/>
      <c r="E868" s="164"/>
      <c r="F868" s="165"/>
      <c r="G868" s="172"/>
      <c r="H868" s="164"/>
      <c r="I868" s="164"/>
      <c r="J868" s="164"/>
      <c r="K868" s="223"/>
      <c r="L868" s="234"/>
      <c r="M868" s="202"/>
      <c r="N868" s="250"/>
      <c r="O868" s="203"/>
      <c r="P868" s="248"/>
      <c r="Q868" s="201"/>
      <c r="R868" s="255"/>
      <c r="S868" s="226"/>
      <c r="T868" s="235"/>
      <c r="U868" s="170"/>
    </row>
    <row r="869" spans="1:21" ht="15.75" hidden="1" outlineLevel="3">
      <c r="A869" s="162"/>
      <c r="B869" s="152"/>
      <c r="C869" s="174" t="s">
        <v>496</v>
      </c>
      <c r="D869" s="340"/>
      <c r="E869" s="164"/>
      <c r="F869" s="165"/>
      <c r="G869" s="172"/>
      <c r="H869" s="164"/>
      <c r="I869" s="164"/>
      <c r="J869" s="164"/>
      <c r="K869" s="223"/>
      <c r="L869" s="234"/>
      <c r="M869" s="202"/>
      <c r="N869" s="250"/>
      <c r="O869" s="203"/>
      <c r="P869" s="248"/>
      <c r="Q869" s="201"/>
      <c r="R869" s="255"/>
      <c r="S869" s="226"/>
      <c r="T869" s="235"/>
      <c r="U869" s="170"/>
    </row>
    <row r="870" spans="1:21" ht="15.75" hidden="1" outlineLevel="3">
      <c r="A870" s="162"/>
      <c r="B870" s="152"/>
      <c r="C870" s="174" t="s">
        <v>497</v>
      </c>
      <c r="D870" s="340"/>
      <c r="E870" s="164"/>
      <c r="F870" s="165"/>
      <c r="G870" s="172"/>
      <c r="H870" s="164"/>
      <c r="I870" s="164"/>
      <c r="J870" s="164"/>
      <c r="K870" s="223"/>
      <c r="L870" s="234"/>
      <c r="M870" s="202"/>
      <c r="N870" s="250"/>
      <c r="O870" s="203"/>
      <c r="P870" s="248"/>
      <c r="Q870" s="202">
        <v>170000</v>
      </c>
      <c r="R870" s="255">
        <f>Q870*1.73</f>
        <v>294100</v>
      </c>
      <c r="S870" s="159">
        <f t="shared" ref="S870" si="46">SUM(L870,N870,P870,R870)</f>
        <v>294100</v>
      </c>
      <c r="T870" s="235"/>
      <c r="U870" s="170"/>
    </row>
    <row r="871" spans="1:21" ht="15.75" hidden="1" outlineLevel="3">
      <c r="A871" s="162"/>
      <c r="B871" s="152"/>
      <c r="C871" s="174" t="s">
        <v>499</v>
      </c>
      <c r="D871" s="340"/>
      <c r="E871" s="164"/>
      <c r="F871" s="165"/>
      <c r="G871" s="172"/>
      <c r="H871" s="164"/>
      <c r="I871" s="164"/>
      <c r="J871" s="164"/>
      <c r="K871" s="223"/>
      <c r="L871" s="234"/>
      <c r="M871" s="202"/>
      <c r="N871" s="250"/>
      <c r="O871" s="203"/>
      <c r="P871" s="248"/>
      <c r="Q871" s="201"/>
      <c r="R871" s="255"/>
      <c r="S871" s="226"/>
      <c r="T871" s="235"/>
      <c r="U871" s="170"/>
    </row>
    <row r="872" spans="1:21" ht="15.75" hidden="1" outlineLevel="3">
      <c r="A872" s="162"/>
      <c r="B872" s="152"/>
      <c r="C872" s="174" t="s">
        <v>526</v>
      </c>
      <c r="D872" s="340"/>
      <c r="E872" s="164"/>
      <c r="F872" s="165"/>
      <c r="G872" s="172"/>
      <c r="H872" s="164"/>
      <c r="I872" s="164"/>
      <c r="J872" s="164"/>
      <c r="K872" s="223"/>
      <c r="L872" s="234"/>
      <c r="M872" s="202">
        <v>265000</v>
      </c>
      <c r="N872" s="250">
        <f t="shared" ref="N872:N873" si="47">M872*1.23</f>
        <v>325950</v>
      </c>
      <c r="O872" s="203"/>
      <c r="P872" s="248"/>
      <c r="Q872" s="201"/>
      <c r="R872" s="255"/>
      <c r="S872" s="159">
        <f t="shared" ref="S872:S873" si="48">SUM(L872,N872,P872,R872)</f>
        <v>325950</v>
      </c>
      <c r="T872" s="235"/>
      <c r="U872" s="161" t="s">
        <v>696</v>
      </c>
    </row>
    <row r="873" spans="1:21" ht="15.75" hidden="1" outlineLevel="2" collapsed="1">
      <c r="A873" s="162"/>
      <c r="B873" s="152"/>
      <c r="C873" s="151" t="s">
        <v>692</v>
      </c>
      <c r="D873" s="339"/>
      <c r="E873" s="164"/>
      <c r="F873" s="165"/>
      <c r="G873" s="249"/>
      <c r="H873" s="244"/>
      <c r="I873" s="244"/>
      <c r="J873" s="244"/>
      <c r="K873" s="255"/>
      <c r="L873" s="226"/>
      <c r="M873" s="202">
        <f>SUM(M848:M872)</f>
        <v>645000</v>
      </c>
      <c r="N873" s="244">
        <f t="shared" si="47"/>
        <v>793350</v>
      </c>
      <c r="O873" s="203"/>
      <c r="P873" s="244"/>
      <c r="Q873" s="201"/>
      <c r="R873" s="255"/>
      <c r="S873" s="159">
        <f t="shared" si="48"/>
        <v>793350</v>
      </c>
      <c r="T873" s="235"/>
      <c r="U873" s="483" t="s">
        <v>697</v>
      </c>
    </row>
    <row r="874" spans="1:21" s="233" customFormat="1" hidden="1" outlineLevel="3">
      <c r="A874" s="232"/>
      <c r="B874" s="151" t="s">
        <v>698</v>
      </c>
      <c r="C874" s="171"/>
      <c r="D874" s="343"/>
      <c r="E874" s="157"/>
      <c r="F874" s="158"/>
      <c r="G874" s="197"/>
      <c r="H874" s="157"/>
      <c r="I874" s="157"/>
      <c r="J874" s="157"/>
      <c r="K874" s="215"/>
      <c r="L874" s="155"/>
      <c r="M874" s="156"/>
      <c r="N874" s="250"/>
      <c r="O874" s="157"/>
      <c r="P874" s="248"/>
      <c r="Q874" s="158"/>
      <c r="R874" s="255"/>
      <c r="S874" s="159"/>
      <c r="T874" s="225"/>
      <c r="U874" s="390" t="s">
        <v>693</v>
      </c>
    </row>
    <row r="875" spans="1:21" ht="15.75" hidden="1" outlineLevel="3">
      <c r="A875" s="162"/>
      <c r="B875" s="152"/>
      <c r="C875" s="151" t="s">
        <v>503</v>
      </c>
      <c r="D875" s="339"/>
      <c r="E875" s="164"/>
      <c r="F875" s="165"/>
      <c r="G875" s="172"/>
      <c r="H875" s="164"/>
      <c r="I875" s="164"/>
      <c r="J875" s="164"/>
      <c r="K875" s="223"/>
      <c r="L875" s="234"/>
      <c r="M875" s="202"/>
      <c r="N875" s="250"/>
      <c r="O875" s="203"/>
      <c r="P875" s="248"/>
      <c r="Q875" s="201"/>
      <c r="R875" s="255"/>
      <c r="S875" s="226"/>
      <c r="T875" s="235"/>
      <c r="U875" s="390"/>
    </row>
    <row r="876" spans="1:21" ht="15.75" hidden="1" outlineLevel="3">
      <c r="A876" s="162"/>
      <c r="B876" s="152"/>
      <c r="C876" s="236" t="s">
        <v>520</v>
      </c>
      <c r="D876" s="344"/>
      <c r="E876" s="164"/>
      <c r="F876" s="165"/>
      <c r="G876" s="172"/>
      <c r="H876" s="164"/>
      <c r="I876" s="164"/>
      <c r="J876" s="164"/>
      <c r="K876" s="218"/>
      <c r="L876" s="234"/>
      <c r="M876" s="474">
        <v>75000</v>
      </c>
      <c r="N876" s="250">
        <f>M876*1.23</f>
        <v>92250</v>
      </c>
      <c r="O876" s="203"/>
      <c r="P876" s="248"/>
      <c r="Q876" s="201"/>
      <c r="R876" s="255"/>
      <c r="S876" s="159">
        <f t="shared" ref="S876:S901" si="49">SUM(L876,N876,P876,R876)</f>
        <v>92250</v>
      </c>
      <c r="T876" s="235"/>
      <c r="U876" s="390" t="s">
        <v>616</v>
      </c>
    </row>
    <row r="877" spans="1:21" ht="15.75" hidden="1" outlineLevel="3">
      <c r="A877" s="162"/>
      <c r="B877" s="152"/>
      <c r="C877" s="236" t="s">
        <v>478</v>
      </c>
      <c r="D877" s="344"/>
      <c r="E877" s="164"/>
      <c r="F877" s="165"/>
      <c r="G877" s="172"/>
      <c r="H877" s="164"/>
      <c r="I877" s="164"/>
      <c r="J877" s="164"/>
      <c r="K877" s="223"/>
      <c r="L877" s="234"/>
      <c r="M877" s="202"/>
      <c r="N877" s="250"/>
      <c r="O877" s="203"/>
      <c r="P877" s="248"/>
      <c r="Q877" s="201"/>
      <c r="R877" s="255"/>
      <c r="S877" s="226"/>
      <c r="T877" s="235"/>
      <c r="U877" s="390"/>
    </row>
    <row r="878" spans="1:21" ht="15.75" hidden="1" outlineLevel="3">
      <c r="A878" s="162"/>
      <c r="B878" s="152"/>
      <c r="C878" s="236" t="s">
        <v>479</v>
      </c>
      <c r="D878" s="344"/>
      <c r="E878" s="164"/>
      <c r="F878" s="165"/>
      <c r="G878" s="172"/>
      <c r="H878" s="164"/>
      <c r="I878" s="164"/>
      <c r="J878" s="164"/>
      <c r="K878" s="565"/>
      <c r="L878" s="220"/>
      <c r="M878" s="258">
        <v>110000</v>
      </c>
      <c r="N878" s="250">
        <f>M878*1.23</f>
        <v>135300</v>
      </c>
      <c r="O878" s="203"/>
      <c r="P878" s="248"/>
      <c r="Q878" s="201"/>
      <c r="R878" s="255"/>
      <c r="S878" s="159">
        <f t="shared" si="49"/>
        <v>135300</v>
      </c>
      <c r="T878" s="235"/>
      <c r="U878" s="390"/>
    </row>
    <row r="879" spans="1:21" ht="15.75" hidden="1" outlineLevel="3">
      <c r="A879" s="162"/>
      <c r="B879" s="152"/>
      <c r="C879" s="236" t="s">
        <v>480</v>
      </c>
      <c r="D879" s="344"/>
      <c r="E879" s="164"/>
      <c r="F879" s="165"/>
      <c r="G879" s="172"/>
      <c r="H879" s="164"/>
      <c r="I879" s="164"/>
      <c r="J879" s="164"/>
      <c r="K879" s="223"/>
      <c r="L879" s="234"/>
      <c r="M879" s="202"/>
      <c r="N879" s="250"/>
      <c r="O879" s="203"/>
      <c r="P879" s="248"/>
      <c r="Q879" s="201"/>
      <c r="R879" s="255"/>
      <c r="S879" s="159"/>
      <c r="T879" s="235"/>
      <c r="U879" s="390"/>
    </row>
    <row r="880" spans="1:21" ht="15.75" hidden="1" outlineLevel="3">
      <c r="A880" s="162"/>
      <c r="B880" s="152"/>
      <c r="C880" s="236" t="s">
        <v>512</v>
      </c>
      <c r="D880" s="344"/>
      <c r="E880" s="164"/>
      <c r="F880" s="165"/>
      <c r="G880" s="172"/>
      <c r="H880" s="164"/>
      <c r="I880" s="164"/>
      <c r="J880" s="164"/>
      <c r="K880" s="218"/>
      <c r="L880" s="234"/>
      <c r="M880" s="474">
        <v>20000</v>
      </c>
      <c r="N880" s="250">
        <f>M880*1.23</f>
        <v>24600</v>
      </c>
      <c r="O880" s="203"/>
      <c r="P880" s="248"/>
      <c r="Q880" s="201"/>
      <c r="R880" s="255"/>
      <c r="S880" s="159">
        <f t="shared" si="49"/>
        <v>24600</v>
      </c>
      <c r="T880" s="235"/>
      <c r="U880" s="390"/>
    </row>
    <row r="881" spans="1:21" ht="15.75" hidden="1" outlineLevel="3">
      <c r="A881" s="162"/>
      <c r="B881" s="152"/>
      <c r="C881" s="151" t="s">
        <v>504</v>
      </c>
      <c r="D881" s="339"/>
      <c r="E881" s="164"/>
      <c r="F881" s="165"/>
      <c r="G881" s="172"/>
      <c r="H881" s="164"/>
      <c r="I881" s="164"/>
      <c r="J881" s="164"/>
      <c r="K881" s="223"/>
      <c r="L881" s="234"/>
      <c r="M881" s="202"/>
      <c r="N881" s="250"/>
      <c r="O881" s="203"/>
      <c r="P881" s="248"/>
      <c r="Q881" s="201"/>
      <c r="R881" s="255"/>
      <c r="S881" s="159"/>
      <c r="T881" s="235"/>
      <c r="U881" s="390"/>
    </row>
    <row r="882" spans="1:21" ht="15.75" hidden="1" outlineLevel="3">
      <c r="A882" s="162"/>
      <c r="B882" s="152"/>
      <c r="C882" s="236" t="s">
        <v>483</v>
      </c>
      <c r="D882" s="344"/>
      <c r="E882" s="164"/>
      <c r="F882" s="165"/>
      <c r="G882" s="172"/>
      <c r="H882" s="164"/>
      <c r="I882" s="164"/>
      <c r="J882" s="164"/>
      <c r="K882" s="223"/>
      <c r="L882" s="234"/>
      <c r="M882" s="202"/>
      <c r="N882" s="250"/>
      <c r="O882" s="203"/>
      <c r="P882" s="248"/>
      <c r="Q882" s="201"/>
      <c r="R882" s="255"/>
      <c r="S882" s="159"/>
      <c r="T882" s="235"/>
      <c r="U882" s="390"/>
    </row>
    <row r="883" spans="1:21" ht="15.75" hidden="1" outlineLevel="3">
      <c r="A883" s="162"/>
      <c r="B883" s="152"/>
      <c r="C883" s="236" t="s">
        <v>484</v>
      </c>
      <c r="D883" s="344"/>
      <c r="E883" s="164"/>
      <c r="F883" s="165"/>
      <c r="G883" s="172"/>
      <c r="H883" s="164"/>
      <c r="I883" s="164"/>
      <c r="J883" s="164"/>
      <c r="K883" s="223"/>
      <c r="L883" s="234"/>
      <c r="M883" s="202">
        <v>102000</v>
      </c>
      <c r="N883" s="250">
        <f>M883*1.23</f>
        <v>125460</v>
      </c>
      <c r="O883" s="203"/>
      <c r="P883" s="248"/>
      <c r="Q883" s="201"/>
      <c r="R883" s="255"/>
      <c r="S883" s="159">
        <f t="shared" si="49"/>
        <v>125460</v>
      </c>
      <c r="T883" s="235"/>
      <c r="U883" s="390"/>
    </row>
    <row r="884" spans="1:21" ht="15.75" hidden="1" outlineLevel="3">
      <c r="A884" s="162"/>
      <c r="B884" s="152"/>
      <c r="C884" s="236" t="s">
        <v>479</v>
      </c>
      <c r="D884" s="344"/>
      <c r="E884" s="164"/>
      <c r="F884" s="165"/>
      <c r="G884" s="172"/>
      <c r="H884" s="164"/>
      <c r="I884" s="164"/>
      <c r="J884" s="164"/>
      <c r="K884" s="223"/>
      <c r="L884" s="234"/>
      <c r="M884" s="202"/>
      <c r="N884" s="250"/>
      <c r="O884" s="203"/>
      <c r="P884" s="248"/>
      <c r="Q884" s="201"/>
      <c r="R884" s="255"/>
      <c r="S884" s="159"/>
      <c r="T884" s="235"/>
      <c r="U884" s="390"/>
    </row>
    <row r="885" spans="1:21" ht="15.75" hidden="1" outlineLevel="3">
      <c r="A885" s="162"/>
      <c r="B885" s="152"/>
      <c r="C885" s="236" t="s">
        <v>485</v>
      </c>
      <c r="D885" s="344"/>
      <c r="E885" s="164"/>
      <c r="F885" s="165"/>
      <c r="G885" s="172"/>
      <c r="H885" s="164"/>
      <c r="I885" s="164"/>
      <c r="J885" s="164"/>
      <c r="K885" s="223"/>
      <c r="L885" s="234"/>
      <c r="M885" s="202"/>
      <c r="N885" s="250"/>
      <c r="O885" s="203"/>
      <c r="P885" s="248"/>
      <c r="Q885" s="201"/>
      <c r="R885" s="255"/>
      <c r="S885" s="159"/>
      <c r="T885" s="235"/>
      <c r="U885" s="390"/>
    </row>
    <row r="886" spans="1:21" ht="15.75" hidden="1" outlineLevel="3">
      <c r="A886" s="162"/>
      <c r="B886" s="152"/>
      <c r="C886" s="151" t="s">
        <v>505</v>
      </c>
      <c r="D886" s="339"/>
      <c r="E886" s="164"/>
      <c r="F886" s="165"/>
      <c r="G886" s="172"/>
      <c r="H886" s="164"/>
      <c r="I886" s="164"/>
      <c r="J886" s="164"/>
      <c r="K886" s="223"/>
      <c r="L886" s="234"/>
      <c r="M886" s="202"/>
      <c r="N886" s="250"/>
      <c r="O886" s="203"/>
      <c r="P886" s="248"/>
      <c r="Q886" s="201"/>
      <c r="R886" s="255"/>
      <c r="S886" s="159"/>
      <c r="T886" s="235"/>
      <c r="U886" s="390"/>
    </row>
    <row r="887" spans="1:21" ht="15.75" hidden="1" outlineLevel="3">
      <c r="A887" s="162"/>
      <c r="B887" s="152"/>
      <c r="C887" s="236" t="s">
        <v>487</v>
      </c>
      <c r="D887" s="344"/>
      <c r="E887" s="164"/>
      <c r="F887" s="165"/>
      <c r="G887" s="172"/>
      <c r="H887" s="164"/>
      <c r="I887" s="164"/>
      <c r="J887" s="164"/>
      <c r="K887" s="223"/>
      <c r="L887" s="234"/>
      <c r="M887" s="202"/>
      <c r="N887" s="250"/>
      <c r="O887" s="203"/>
      <c r="P887" s="248"/>
      <c r="Q887" s="201"/>
      <c r="R887" s="255"/>
      <c r="S887" s="159"/>
      <c r="T887" s="235"/>
      <c r="U887" s="390"/>
    </row>
    <row r="888" spans="1:21" ht="15.75" hidden="1" outlineLevel="3">
      <c r="A888" s="162"/>
      <c r="B888" s="152"/>
      <c r="C888" s="236" t="s">
        <v>479</v>
      </c>
      <c r="D888" s="344"/>
      <c r="E888" s="164"/>
      <c r="F888" s="165"/>
      <c r="G888" s="172"/>
      <c r="H888" s="164"/>
      <c r="I888" s="164"/>
      <c r="J888" s="164"/>
      <c r="K888" s="223"/>
      <c r="L888" s="234"/>
      <c r="M888" s="202"/>
      <c r="N888" s="250"/>
      <c r="O888" s="203"/>
      <c r="P888" s="248"/>
      <c r="Q888" s="201"/>
      <c r="R888" s="255"/>
      <c r="S888" s="159"/>
      <c r="T888" s="235"/>
      <c r="U888" s="390"/>
    </row>
    <row r="889" spans="1:21" ht="15.75" hidden="1" outlineLevel="3">
      <c r="A889" s="162"/>
      <c r="B889" s="152"/>
      <c r="C889" s="236" t="s">
        <v>488</v>
      </c>
      <c r="D889" s="344"/>
      <c r="E889" s="164"/>
      <c r="F889" s="165"/>
      <c r="G889" s="172"/>
      <c r="H889" s="164"/>
      <c r="I889" s="164"/>
      <c r="J889" s="164"/>
      <c r="K889" s="223"/>
      <c r="L889" s="234"/>
      <c r="M889" s="202"/>
      <c r="N889" s="250"/>
      <c r="O889" s="203"/>
      <c r="P889" s="248"/>
      <c r="Q889" s="201"/>
      <c r="R889" s="255"/>
      <c r="S889" s="159"/>
      <c r="T889" s="235"/>
      <c r="U889" s="390"/>
    </row>
    <row r="890" spans="1:21" ht="15.75" hidden="1" outlineLevel="3">
      <c r="A890" s="162"/>
      <c r="B890" s="152"/>
      <c r="C890" s="236" t="s">
        <v>489</v>
      </c>
      <c r="D890" s="344"/>
      <c r="E890" s="164"/>
      <c r="F890" s="165"/>
      <c r="G890" s="172"/>
      <c r="H890" s="164"/>
      <c r="I890" s="164"/>
      <c r="J890" s="164"/>
      <c r="K890" s="223"/>
      <c r="L890" s="234"/>
      <c r="M890" s="202"/>
      <c r="N890" s="250"/>
      <c r="O890" s="203"/>
      <c r="P890" s="248"/>
      <c r="Q890" s="201"/>
      <c r="R890" s="255"/>
      <c r="S890" s="159"/>
      <c r="T890" s="235"/>
      <c r="U890" s="390"/>
    </row>
    <row r="891" spans="1:21" ht="15.75" hidden="1" outlineLevel="3">
      <c r="A891" s="162"/>
      <c r="B891" s="152"/>
      <c r="C891" s="151" t="s">
        <v>506</v>
      </c>
      <c r="D891" s="339"/>
      <c r="E891" s="164"/>
      <c r="F891" s="165"/>
      <c r="G891" s="172"/>
      <c r="H891" s="164"/>
      <c r="I891" s="164"/>
      <c r="J891" s="164"/>
      <c r="K891" s="223"/>
      <c r="L891" s="234"/>
      <c r="M891" s="202"/>
      <c r="N891" s="250"/>
      <c r="O891" s="203"/>
      <c r="P891" s="248"/>
      <c r="Q891" s="201"/>
      <c r="R891" s="255"/>
      <c r="S891" s="159"/>
      <c r="T891" s="235"/>
      <c r="U891" s="390"/>
    </row>
    <row r="892" spans="1:21" ht="15.75" hidden="1" outlineLevel="3">
      <c r="A892" s="162"/>
      <c r="B892" s="152"/>
      <c r="C892" s="236" t="s">
        <v>491</v>
      </c>
      <c r="D892" s="344"/>
      <c r="E892" s="164"/>
      <c r="F892" s="165"/>
      <c r="G892" s="172"/>
      <c r="H892" s="164"/>
      <c r="I892" s="164"/>
      <c r="J892" s="164"/>
      <c r="K892" s="223"/>
      <c r="L892" s="173"/>
      <c r="M892" s="202">
        <v>200000</v>
      </c>
      <c r="N892" s="250">
        <f>M892*1.23</f>
        <v>246000</v>
      </c>
      <c r="O892" s="203"/>
      <c r="P892" s="248"/>
      <c r="Q892" s="201"/>
      <c r="R892" s="255"/>
      <c r="S892" s="159">
        <f t="shared" si="49"/>
        <v>246000</v>
      </c>
      <c r="T892" s="235"/>
      <c r="U892" s="390"/>
    </row>
    <row r="893" spans="1:21" ht="15.75" hidden="1" outlineLevel="3">
      <c r="A893" s="162"/>
      <c r="B893" s="152"/>
      <c r="C893" s="236" t="s">
        <v>492</v>
      </c>
      <c r="D893" s="344"/>
      <c r="E893" s="164"/>
      <c r="F893" s="165"/>
      <c r="G893" s="172"/>
      <c r="H893" s="164"/>
      <c r="I893" s="164"/>
      <c r="J893" s="164"/>
      <c r="K893" s="223"/>
      <c r="L893" s="234"/>
      <c r="M893" s="202"/>
      <c r="N893" s="250"/>
      <c r="O893" s="203">
        <v>75000</v>
      </c>
      <c r="P893" s="248">
        <f>O893*1.46</f>
        <v>109500</v>
      </c>
      <c r="Q893" s="201"/>
      <c r="R893" s="255"/>
      <c r="S893" s="159">
        <f t="shared" si="49"/>
        <v>109500</v>
      </c>
      <c r="T893" s="235"/>
      <c r="U893" s="390"/>
    </row>
    <row r="894" spans="1:21" ht="15.75" hidden="1" outlineLevel="3">
      <c r="A894" s="162"/>
      <c r="B894" s="152"/>
      <c r="C894" s="236" t="s">
        <v>493</v>
      </c>
      <c r="D894" s="344"/>
      <c r="E894" s="164"/>
      <c r="F894" s="165"/>
      <c r="G894" s="172"/>
      <c r="H894" s="164"/>
      <c r="I894" s="164"/>
      <c r="J894" s="164"/>
      <c r="K894" s="223"/>
      <c r="L894" s="234"/>
      <c r="M894" s="202"/>
      <c r="N894" s="250"/>
      <c r="O894" s="203"/>
      <c r="P894" s="248"/>
      <c r="Q894" s="201">
        <v>161000</v>
      </c>
      <c r="R894" s="255">
        <f>Q894*1.73</f>
        <v>278530</v>
      </c>
      <c r="S894" s="159">
        <f t="shared" si="49"/>
        <v>278530</v>
      </c>
      <c r="T894" s="235"/>
      <c r="U894" s="390" t="s">
        <v>1007</v>
      </c>
    </row>
    <row r="895" spans="1:21" ht="15.75" hidden="1" outlineLevel="3">
      <c r="A895" s="162"/>
      <c r="B895" s="152"/>
      <c r="C895" s="236" t="s">
        <v>494</v>
      </c>
      <c r="D895" s="344"/>
      <c r="E895" s="164"/>
      <c r="F895" s="165"/>
      <c r="G895" s="172"/>
      <c r="H895" s="164"/>
      <c r="I895" s="164"/>
      <c r="J895" s="164"/>
      <c r="K895" s="223"/>
      <c r="L895" s="234"/>
      <c r="M895" s="202"/>
      <c r="N895" s="250"/>
      <c r="O895" s="203"/>
      <c r="P895" s="248"/>
      <c r="Q895" s="201"/>
      <c r="R895" s="255"/>
      <c r="S895" s="159"/>
      <c r="T895" s="235"/>
      <c r="U895" s="483"/>
    </row>
    <row r="896" spans="1:21" ht="15.75" hidden="1" outlineLevel="3">
      <c r="A896" s="162"/>
      <c r="B896" s="152"/>
      <c r="C896" s="151" t="s">
        <v>507</v>
      </c>
      <c r="D896" s="339"/>
      <c r="E896" s="164"/>
      <c r="F896" s="165"/>
      <c r="G896" s="172"/>
      <c r="H896" s="164"/>
      <c r="I896" s="164"/>
      <c r="J896" s="164"/>
      <c r="K896" s="223"/>
      <c r="L896" s="234"/>
      <c r="M896" s="202"/>
      <c r="N896" s="250"/>
      <c r="O896" s="203"/>
      <c r="P896" s="248"/>
      <c r="Q896" s="201"/>
      <c r="R896" s="255"/>
      <c r="S896" s="159"/>
      <c r="T896" s="235"/>
      <c r="U896" s="390"/>
    </row>
    <row r="897" spans="1:21" ht="15.75" hidden="1" outlineLevel="3">
      <c r="A897" s="162"/>
      <c r="B897" s="152"/>
      <c r="C897" s="174" t="s">
        <v>496</v>
      </c>
      <c r="D897" s="340"/>
      <c r="E897" s="164"/>
      <c r="F897" s="165"/>
      <c r="G897" s="172"/>
      <c r="H897" s="164"/>
      <c r="I897" s="164"/>
      <c r="J897" s="164"/>
      <c r="K897" s="223"/>
      <c r="L897" s="234"/>
      <c r="M897" s="202"/>
      <c r="N897" s="250"/>
      <c r="O897" s="203"/>
      <c r="P897" s="248"/>
      <c r="Q897" s="201"/>
      <c r="R897" s="255"/>
      <c r="S897" s="159"/>
      <c r="T897" s="235"/>
      <c r="U897" s="390"/>
    </row>
    <row r="898" spans="1:21" ht="15.75" hidden="1" outlineLevel="3">
      <c r="A898" s="162"/>
      <c r="B898" s="152"/>
      <c r="C898" s="174" t="s">
        <v>497</v>
      </c>
      <c r="D898" s="340"/>
      <c r="E898" s="164"/>
      <c r="F898" s="165"/>
      <c r="G898" s="172"/>
      <c r="H898" s="164"/>
      <c r="I898" s="164"/>
      <c r="J898" s="164"/>
      <c r="K898" s="223"/>
      <c r="L898" s="234"/>
      <c r="M898" s="202"/>
      <c r="N898" s="250"/>
      <c r="O898" s="203"/>
      <c r="P898" s="248"/>
      <c r="Q898" s="201"/>
      <c r="R898" s="255"/>
      <c r="S898" s="159"/>
      <c r="T898" s="235"/>
      <c r="U898" s="390"/>
    </row>
    <row r="899" spans="1:21" ht="15.75" hidden="1" outlineLevel="3">
      <c r="A899" s="162"/>
      <c r="B899" s="152"/>
      <c r="C899" s="174" t="s">
        <v>499</v>
      </c>
      <c r="D899" s="340"/>
      <c r="E899" s="164"/>
      <c r="F899" s="165"/>
      <c r="G899" s="172"/>
      <c r="H899" s="164"/>
      <c r="I899" s="164"/>
      <c r="J899" s="164"/>
      <c r="K899" s="223"/>
      <c r="L899" s="234"/>
      <c r="M899" s="202"/>
      <c r="N899" s="250"/>
      <c r="O899" s="203"/>
      <c r="P899" s="248"/>
      <c r="Q899" s="201"/>
      <c r="R899" s="255"/>
      <c r="S899" s="159"/>
      <c r="T899" s="235"/>
      <c r="U899" s="390"/>
    </row>
    <row r="900" spans="1:21" ht="15.75" hidden="1" outlineLevel="3">
      <c r="A900" s="162"/>
      <c r="B900" s="152"/>
      <c r="C900" s="174" t="s">
        <v>526</v>
      </c>
      <c r="D900" s="340"/>
      <c r="E900" s="164"/>
      <c r="F900" s="165"/>
      <c r="G900" s="172"/>
      <c r="H900" s="164"/>
      <c r="I900" s="164"/>
      <c r="J900" s="164"/>
      <c r="K900" s="223"/>
      <c r="L900" s="234"/>
      <c r="M900" s="202">
        <v>204000</v>
      </c>
      <c r="N900" s="250">
        <f>M900*1.23</f>
        <v>250920</v>
      </c>
      <c r="O900" s="203"/>
      <c r="P900" s="248"/>
      <c r="Q900" s="201"/>
      <c r="R900" s="255"/>
      <c r="S900" s="159">
        <f t="shared" si="49"/>
        <v>250920</v>
      </c>
      <c r="T900" s="235"/>
      <c r="U900" s="483"/>
    </row>
    <row r="901" spans="1:21" ht="15.75" hidden="1" outlineLevel="2" collapsed="1">
      <c r="A901" s="162"/>
      <c r="B901" s="152"/>
      <c r="C901" s="151" t="s">
        <v>698</v>
      </c>
      <c r="D901" s="339"/>
      <c r="E901" s="164"/>
      <c r="F901" s="165"/>
      <c r="G901" s="249"/>
      <c r="H901" s="244"/>
      <c r="I901" s="244"/>
      <c r="J901" s="244"/>
      <c r="K901" s="255"/>
      <c r="L901" s="226"/>
      <c r="M901" s="202">
        <f>SUM(M876:M900)</f>
        <v>711000</v>
      </c>
      <c r="N901" s="244">
        <f>M901*1.23</f>
        <v>874530</v>
      </c>
      <c r="O901" s="203">
        <f>SUM(O876:O900)</f>
        <v>75000</v>
      </c>
      <c r="P901" s="244">
        <f>O901*1.46</f>
        <v>109500</v>
      </c>
      <c r="Q901" s="201">
        <f>SUM(Q876:Q900)</f>
        <v>161000</v>
      </c>
      <c r="R901" s="255">
        <f>Q901*1.73</f>
        <v>278530</v>
      </c>
      <c r="S901" s="159">
        <f t="shared" si="49"/>
        <v>1262560</v>
      </c>
      <c r="T901" s="235"/>
      <c r="U901" s="483" t="s">
        <v>699</v>
      </c>
    </row>
    <row r="902" spans="1:21" s="233" customFormat="1" hidden="1" outlineLevel="3">
      <c r="A902" s="232"/>
      <c r="B902" s="151" t="s">
        <v>700</v>
      </c>
      <c r="C902" s="171"/>
      <c r="D902" s="343"/>
      <c r="E902" s="157"/>
      <c r="F902" s="158"/>
      <c r="G902" s="197"/>
      <c r="H902" s="157"/>
      <c r="I902" s="157"/>
      <c r="J902" s="157"/>
      <c r="K902" s="215"/>
      <c r="L902" s="155"/>
      <c r="M902" s="156"/>
      <c r="N902" s="250"/>
      <c r="O902" s="157"/>
      <c r="P902" s="248"/>
      <c r="Q902" s="158"/>
      <c r="R902" s="255"/>
      <c r="S902" s="159"/>
      <c r="T902" s="225"/>
      <c r="U902" s="390" t="s">
        <v>693</v>
      </c>
    </row>
    <row r="903" spans="1:21" ht="15.75" hidden="1" outlineLevel="3">
      <c r="A903" s="162"/>
      <c r="B903" s="152"/>
      <c r="C903" s="151" t="s">
        <v>503</v>
      </c>
      <c r="D903" s="339"/>
      <c r="E903" s="164"/>
      <c r="F903" s="165"/>
      <c r="G903" s="172"/>
      <c r="H903" s="164"/>
      <c r="I903" s="164"/>
      <c r="J903" s="164"/>
      <c r="K903" s="223"/>
      <c r="L903" s="234"/>
      <c r="M903" s="202"/>
      <c r="N903" s="250"/>
      <c r="O903" s="203"/>
      <c r="P903" s="248"/>
      <c r="Q903" s="201"/>
      <c r="R903" s="255"/>
      <c r="S903" s="226"/>
      <c r="T903" s="235"/>
      <c r="U903" s="483"/>
    </row>
    <row r="904" spans="1:21" ht="15.75" hidden="1" outlineLevel="3">
      <c r="A904" s="162"/>
      <c r="B904" s="152"/>
      <c r="C904" s="236" t="s">
        <v>520</v>
      </c>
      <c r="D904" s="344"/>
      <c r="E904" s="164"/>
      <c r="F904" s="165"/>
      <c r="G904" s="172"/>
      <c r="H904" s="164"/>
      <c r="I904" s="164"/>
      <c r="J904" s="164"/>
      <c r="K904" s="223"/>
      <c r="L904" s="234"/>
      <c r="M904" s="202"/>
      <c r="N904" s="250"/>
      <c r="O904" s="203"/>
      <c r="P904" s="248"/>
      <c r="Q904" s="201"/>
      <c r="R904" s="255"/>
      <c r="S904" s="226"/>
      <c r="T904" s="235"/>
      <c r="U904" s="483"/>
    </row>
    <row r="905" spans="1:21" ht="15.75" hidden="1" outlineLevel="3">
      <c r="A905" s="162"/>
      <c r="B905" s="152"/>
      <c r="C905" s="236" t="s">
        <v>478</v>
      </c>
      <c r="D905" s="344"/>
      <c r="E905" s="164"/>
      <c r="F905" s="165"/>
      <c r="G905" s="172"/>
      <c r="H905" s="164"/>
      <c r="I905" s="164"/>
      <c r="J905" s="164"/>
      <c r="K905" s="223"/>
      <c r="L905" s="234"/>
      <c r="M905" s="202"/>
      <c r="N905" s="250"/>
      <c r="O905" s="203"/>
      <c r="P905" s="248"/>
      <c r="Q905" s="201"/>
      <c r="R905" s="255"/>
      <c r="S905" s="226"/>
      <c r="T905" s="235"/>
      <c r="U905" s="483"/>
    </row>
    <row r="906" spans="1:21" ht="15.75" hidden="1" outlineLevel="3">
      <c r="A906" s="162"/>
      <c r="B906" s="152"/>
      <c r="C906" s="236" t="s">
        <v>479</v>
      </c>
      <c r="D906" s="344"/>
      <c r="E906" s="164"/>
      <c r="F906" s="165"/>
      <c r="G906" s="172"/>
      <c r="H906" s="164"/>
      <c r="I906" s="164"/>
      <c r="J906" s="164"/>
      <c r="K906" s="223"/>
      <c r="L906" s="220"/>
      <c r="M906" s="204"/>
      <c r="N906" s="250"/>
      <c r="O906" s="203"/>
      <c r="P906" s="248"/>
      <c r="Q906" s="201"/>
      <c r="R906" s="255"/>
      <c r="S906" s="226"/>
      <c r="T906" s="235"/>
      <c r="U906" s="483"/>
    </row>
    <row r="907" spans="1:21" ht="15.75" hidden="1" outlineLevel="3">
      <c r="A907" s="162"/>
      <c r="B907" s="152"/>
      <c r="C907" s="236" t="s">
        <v>480</v>
      </c>
      <c r="D907" s="344"/>
      <c r="E907" s="164"/>
      <c r="F907" s="165"/>
      <c r="G907" s="172"/>
      <c r="H907" s="164"/>
      <c r="I907" s="164"/>
      <c r="J907" s="164"/>
      <c r="K907" s="223"/>
      <c r="L907" s="234"/>
      <c r="M907" s="202"/>
      <c r="N907" s="250"/>
      <c r="O907" s="203"/>
      <c r="P907" s="248"/>
      <c r="Q907" s="201"/>
      <c r="R907" s="255"/>
      <c r="S907" s="226"/>
      <c r="T907" s="235"/>
      <c r="U907" s="483"/>
    </row>
    <row r="908" spans="1:21" ht="15.75" hidden="1" outlineLevel="3">
      <c r="A908" s="162"/>
      <c r="B908" s="152"/>
      <c r="C908" s="236" t="s">
        <v>512</v>
      </c>
      <c r="D908" s="344"/>
      <c r="E908" s="164"/>
      <c r="F908" s="165"/>
      <c r="G908" s="172"/>
      <c r="H908" s="164"/>
      <c r="I908" s="164"/>
      <c r="J908" s="164"/>
      <c r="K908" s="223"/>
      <c r="L908" s="234"/>
      <c r="M908" s="202"/>
      <c r="N908" s="250"/>
      <c r="O908" s="203"/>
      <c r="P908" s="248"/>
      <c r="Q908" s="201"/>
      <c r="R908" s="255"/>
      <c r="S908" s="226"/>
      <c r="T908" s="235"/>
      <c r="U908" s="483"/>
    </row>
    <row r="909" spans="1:21" ht="15.75" hidden="1" outlineLevel="3">
      <c r="A909" s="162"/>
      <c r="B909" s="152"/>
      <c r="C909" s="151" t="s">
        <v>504</v>
      </c>
      <c r="D909" s="339"/>
      <c r="E909" s="164"/>
      <c r="F909" s="165"/>
      <c r="G909" s="172"/>
      <c r="H909" s="164"/>
      <c r="I909" s="164"/>
      <c r="J909" s="164"/>
      <c r="K909" s="223"/>
      <c r="L909" s="234"/>
      <c r="M909" s="202"/>
      <c r="N909" s="250"/>
      <c r="O909" s="203"/>
      <c r="P909" s="248"/>
      <c r="Q909" s="201"/>
      <c r="R909" s="255"/>
      <c r="S909" s="226"/>
      <c r="T909" s="235"/>
      <c r="U909" s="483"/>
    </row>
    <row r="910" spans="1:21" ht="15.75" hidden="1" outlineLevel="3">
      <c r="A910" s="162"/>
      <c r="B910" s="152"/>
      <c r="C910" s="236" t="s">
        <v>483</v>
      </c>
      <c r="D910" s="344"/>
      <c r="E910" s="164"/>
      <c r="F910" s="165"/>
      <c r="G910" s="172"/>
      <c r="H910" s="164"/>
      <c r="I910" s="164"/>
      <c r="J910" s="164"/>
      <c r="K910" s="223"/>
      <c r="L910" s="234"/>
      <c r="M910" s="202"/>
      <c r="N910" s="250"/>
      <c r="O910" s="203"/>
      <c r="P910" s="248"/>
      <c r="Q910" s="201"/>
      <c r="R910" s="255"/>
      <c r="S910" s="226"/>
      <c r="T910" s="235"/>
      <c r="U910" s="483"/>
    </row>
    <row r="911" spans="1:21" ht="15.75" hidden="1" outlineLevel="3">
      <c r="A911" s="162"/>
      <c r="B911" s="152"/>
      <c r="C911" s="236" t="s">
        <v>484</v>
      </c>
      <c r="D911" s="344"/>
      <c r="E911" s="164"/>
      <c r="F911" s="165"/>
      <c r="G911" s="172"/>
      <c r="H911" s="164"/>
      <c r="I911" s="164"/>
      <c r="J911" s="164"/>
      <c r="K911" s="223"/>
      <c r="L911" s="234"/>
      <c r="M911" s="202"/>
      <c r="N911" s="250"/>
      <c r="O911" s="203"/>
      <c r="P911" s="248"/>
      <c r="Q911" s="201"/>
      <c r="R911" s="255"/>
      <c r="S911" s="226"/>
      <c r="T911" s="235"/>
      <c r="U911" s="483"/>
    </row>
    <row r="912" spans="1:21" ht="15.75" hidden="1" outlineLevel="3">
      <c r="A912" s="162"/>
      <c r="B912" s="152"/>
      <c r="C912" s="236" t="s">
        <v>479</v>
      </c>
      <c r="D912" s="344"/>
      <c r="E912" s="164"/>
      <c r="F912" s="165"/>
      <c r="G912" s="172"/>
      <c r="H912" s="164"/>
      <c r="I912" s="164"/>
      <c r="J912" s="164"/>
      <c r="K912" s="218"/>
      <c r="L912" s="234"/>
      <c r="M912" s="474">
        <v>108000</v>
      </c>
      <c r="N912" s="250">
        <f>M912*1.23</f>
        <v>132840</v>
      </c>
      <c r="O912" s="203"/>
      <c r="P912" s="248"/>
      <c r="Q912" s="201"/>
      <c r="R912" s="255"/>
      <c r="S912" s="159">
        <f t="shared" ref="S912" si="50">SUM(L912,N912,P912,R912)</f>
        <v>132840</v>
      </c>
      <c r="T912" s="235"/>
      <c r="U912" s="483"/>
    </row>
    <row r="913" spans="1:21" ht="15.75" hidden="1" outlineLevel="3">
      <c r="A913" s="162"/>
      <c r="B913" s="152"/>
      <c r="C913" s="236" t="s">
        <v>485</v>
      </c>
      <c r="D913" s="344"/>
      <c r="E913" s="164"/>
      <c r="F913" s="165"/>
      <c r="G913" s="172"/>
      <c r="H913" s="164"/>
      <c r="I913" s="164"/>
      <c r="J913" s="164"/>
      <c r="K913" s="223"/>
      <c r="L913" s="234"/>
      <c r="M913" s="202"/>
      <c r="N913" s="250"/>
      <c r="O913" s="203"/>
      <c r="P913" s="248"/>
      <c r="Q913" s="201"/>
      <c r="R913" s="255"/>
      <c r="S913" s="226"/>
      <c r="T913" s="235"/>
      <c r="U913" s="483"/>
    </row>
    <row r="914" spans="1:21" ht="15.75" hidden="1" outlineLevel="3">
      <c r="A914" s="162"/>
      <c r="B914" s="152"/>
      <c r="C914" s="151" t="s">
        <v>505</v>
      </c>
      <c r="D914" s="339"/>
      <c r="E914" s="164"/>
      <c r="F914" s="165"/>
      <c r="G914" s="172"/>
      <c r="H914" s="164"/>
      <c r="I914" s="164"/>
      <c r="J914" s="164"/>
      <c r="K914" s="223"/>
      <c r="L914" s="234"/>
      <c r="M914" s="202"/>
      <c r="N914" s="250"/>
      <c r="O914" s="203"/>
      <c r="P914" s="248"/>
      <c r="Q914" s="201"/>
      <c r="R914" s="255"/>
      <c r="S914" s="226"/>
      <c r="T914" s="235"/>
      <c r="U914" s="483"/>
    </row>
    <row r="915" spans="1:21" ht="15.75" hidden="1" outlineLevel="3">
      <c r="A915" s="162"/>
      <c r="B915" s="152"/>
      <c r="C915" s="236" t="s">
        <v>487</v>
      </c>
      <c r="D915" s="344"/>
      <c r="E915" s="164"/>
      <c r="F915" s="165"/>
      <c r="G915" s="172"/>
      <c r="H915" s="164"/>
      <c r="I915" s="164"/>
      <c r="J915" s="164"/>
      <c r="K915" s="223"/>
      <c r="L915" s="234"/>
      <c r="M915" s="202"/>
      <c r="N915" s="250"/>
      <c r="O915" s="203"/>
      <c r="P915" s="248"/>
      <c r="Q915" s="201"/>
      <c r="R915" s="255"/>
      <c r="S915" s="226"/>
      <c r="T915" s="235"/>
      <c r="U915" s="483"/>
    </row>
    <row r="916" spans="1:21" ht="15.75" hidden="1" outlineLevel="3">
      <c r="A916" s="162"/>
      <c r="B916" s="152"/>
      <c r="C916" s="236" t="s">
        <v>479</v>
      </c>
      <c r="D916" s="344"/>
      <c r="E916" s="164"/>
      <c r="F916" s="165"/>
      <c r="G916" s="172"/>
      <c r="H916" s="164"/>
      <c r="I916" s="164"/>
      <c r="J916" s="164"/>
      <c r="K916" s="223"/>
      <c r="L916" s="234"/>
      <c r="M916" s="202"/>
      <c r="N916" s="250"/>
      <c r="O916" s="203"/>
      <c r="P916" s="248"/>
      <c r="Q916" s="201"/>
      <c r="R916" s="255"/>
      <c r="S916" s="226"/>
      <c r="T916" s="235"/>
      <c r="U916" s="483"/>
    </row>
    <row r="917" spans="1:21" ht="15.75" hidden="1" outlineLevel="3">
      <c r="A917" s="162"/>
      <c r="B917" s="152"/>
      <c r="C917" s="236" t="s">
        <v>488</v>
      </c>
      <c r="D917" s="344"/>
      <c r="E917" s="164"/>
      <c r="F917" s="165"/>
      <c r="G917" s="172"/>
      <c r="H917" s="164"/>
      <c r="I917" s="164"/>
      <c r="J917" s="164"/>
      <c r="K917" s="223"/>
      <c r="L917" s="234"/>
      <c r="M917" s="202"/>
      <c r="N917" s="250"/>
      <c r="O917" s="203"/>
      <c r="P917" s="248"/>
      <c r="Q917" s="201"/>
      <c r="R917" s="255"/>
      <c r="S917" s="226"/>
      <c r="T917" s="235"/>
      <c r="U917" s="483"/>
    </row>
    <row r="918" spans="1:21" ht="15.75" hidden="1" outlineLevel="3">
      <c r="A918" s="162"/>
      <c r="B918" s="152"/>
      <c r="C918" s="236" t="s">
        <v>489</v>
      </c>
      <c r="D918" s="344"/>
      <c r="E918" s="164"/>
      <c r="F918" s="165"/>
      <c r="G918" s="172"/>
      <c r="H918" s="164"/>
      <c r="I918" s="164"/>
      <c r="J918" s="164"/>
      <c r="K918" s="223"/>
      <c r="L918" s="234"/>
      <c r="M918" s="202"/>
      <c r="N918" s="250"/>
      <c r="O918" s="203"/>
      <c r="P918" s="248"/>
      <c r="Q918" s="201"/>
      <c r="R918" s="255"/>
      <c r="S918" s="226"/>
      <c r="T918" s="235"/>
      <c r="U918" s="483"/>
    </row>
    <row r="919" spans="1:21" ht="15.75" hidden="1" outlineLevel="3">
      <c r="A919" s="162"/>
      <c r="B919" s="152"/>
      <c r="C919" s="151" t="s">
        <v>506</v>
      </c>
      <c r="D919" s="339"/>
      <c r="E919" s="164"/>
      <c r="F919" s="165"/>
      <c r="G919" s="172"/>
      <c r="H919" s="164"/>
      <c r="I919" s="164"/>
      <c r="J919" s="164"/>
      <c r="K919" s="223"/>
      <c r="L919" s="234"/>
      <c r="M919" s="202"/>
      <c r="N919" s="250"/>
      <c r="O919" s="203"/>
      <c r="P919" s="248"/>
      <c r="Q919" s="201"/>
      <c r="R919" s="255"/>
      <c r="S919" s="226"/>
      <c r="T919" s="235"/>
      <c r="U919" s="483"/>
    </row>
    <row r="920" spans="1:21" ht="15.75" hidden="1" outlineLevel="3">
      <c r="A920" s="162"/>
      <c r="B920" s="152"/>
      <c r="C920" s="236" t="s">
        <v>491</v>
      </c>
      <c r="D920" s="344"/>
      <c r="E920" s="164"/>
      <c r="F920" s="165"/>
      <c r="G920" s="172"/>
      <c r="H920" s="164"/>
      <c r="I920" s="164"/>
      <c r="J920" s="164"/>
      <c r="K920" s="223"/>
      <c r="L920" s="234"/>
      <c r="M920" s="202"/>
      <c r="N920" s="250"/>
      <c r="O920" s="203"/>
      <c r="P920" s="248"/>
      <c r="Q920" s="201"/>
      <c r="R920" s="255"/>
      <c r="S920" s="226"/>
      <c r="T920" s="235"/>
      <c r="U920" s="483"/>
    </row>
    <row r="921" spans="1:21" ht="15.75" hidden="1" outlineLevel="3">
      <c r="A921" s="162"/>
      <c r="B921" s="152"/>
      <c r="C921" s="236" t="s">
        <v>492</v>
      </c>
      <c r="D921" s="344"/>
      <c r="E921" s="211"/>
      <c r="F921" s="211"/>
      <c r="G921" s="172"/>
      <c r="H921" s="164"/>
      <c r="I921" s="164"/>
      <c r="J921" s="164"/>
      <c r="K921" s="218"/>
      <c r="L921" s="234"/>
      <c r="M921" s="167">
        <v>118000</v>
      </c>
      <c r="N921" s="250">
        <f t="shared" ref="N921:N923" si="51">M921*1.23</f>
        <v>145140</v>
      </c>
      <c r="O921" s="203"/>
      <c r="P921" s="248"/>
      <c r="Q921" s="201"/>
      <c r="R921" s="255"/>
      <c r="S921" s="159">
        <f t="shared" ref="S921:S923" si="52">SUM(L921,N921,P921,R921)</f>
        <v>145140</v>
      </c>
      <c r="T921" s="235"/>
      <c r="U921" s="483"/>
    </row>
    <row r="922" spans="1:21" ht="15.75" hidden="1" outlineLevel="3">
      <c r="A922" s="162"/>
      <c r="B922" s="152"/>
      <c r="C922" s="236" t="s">
        <v>493</v>
      </c>
      <c r="D922" s="344"/>
      <c r="E922" s="164"/>
      <c r="F922" s="165"/>
      <c r="G922" s="172"/>
      <c r="H922" s="164"/>
      <c r="I922" s="164"/>
      <c r="J922" s="164"/>
      <c r="K922" s="218"/>
      <c r="L922" s="234"/>
      <c r="M922" s="171">
        <v>152000</v>
      </c>
      <c r="N922" s="250">
        <f t="shared" si="51"/>
        <v>186960</v>
      </c>
      <c r="O922" s="203"/>
      <c r="P922" s="248"/>
      <c r="Q922" s="201"/>
      <c r="R922" s="255"/>
      <c r="S922" s="159">
        <f t="shared" si="52"/>
        <v>186960</v>
      </c>
      <c r="T922" s="235"/>
      <c r="U922" s="483"/>
    </row>
    <row r="923" spans="1:21" ht="15.75" hidden="1" outlineLevel="3">
      <c r="A923" s="162"/>
      <c r="B923" s="152"/>
      <c r="C923" s="236" t="s">
        <v>494</v>
      </c>
      <c r="D923" s="344"/>
      <c r="E923" s="164"/>
      <c r="F923" s="165"/>
      <c r="G923" s="172"/>
      <c r="H923" s="164"/>
      <c r="I923" s="164"/>
      <c r="J923" s="164"/>
      <c r="K923" s="223"/>
      <c r="L923" s="234"/>
      <c r="M923" s="202">
        <v>200000</v>
      </c>
      <c r="N923" s="250">
        <f t="shared" si="51"/>
        <v>246000</v>
      </c>
      <c r="O923" s="203"/>
      <c r="P923" s="248"/>
      <c r="Q923" s="201"/>
      <c r="R923" s="255"/>
      <c r="S923" s="159">
        <f t="shared" si="52"/>
        <v>246000</v>
      </c>
      <c r="T923" s="235"/>
      <c r="U923" s="483"/>
    </row>
    <row r="924" spans="1:21" ht="15.75" hidden="1" outlineLevel="3">
      <c r="A924" s="162"/>
      <c r="B924" s="152"/>
      <c r="C924" s="151" t="s">
        <v>507</v>
      </c>
      <c r="D924" s="339"/>
      <c r="E924" s="164"/>
      <c r="F924" s="165"/>
      <c r="G924" s="172"/>
      <c r="H924" s="164"/>
      <c r="I924" s="164"/>
      <c r="J924" s="164"/>
      <c r="K924" s="223"/>
      <c r="L924" s="234"/>
      <c r="M924" s="202"/>
      <c r="N924" s="250"/>
      <c r="O924" s="203"/>
      <c r="P924" s="248"/>
      <c r="Q924" s="201"/>
      <c r="R924" s="255"/>
      <c r="S924" s="226"/>
      <c r="T924" s="235"/>
      <c r="U924" s="483"/>
    </row>
    <row r="925" spans="1:21" ht="15.75" hidden="1" outlineLevel="3">
      <c r="A925" s="162"/>
      <c r="B925" s="152"/>
      <c r="C925" s="174" t="s">
        <v>496</v>
      </c>
      <c r="D925" s="340"/>
      <c r="E925" s="164"/>
      <c r="F925" s="165"/>
      <c r="G925" s="172"/>
      <c r="H925" s="164"/>
      <c r="I925" s="164"/>
      <c r="J925" s="164"/>
      <c r="K925" s="223"/>
      <c r="L925" s="234"/>
      <c r="M925" s="202"/>
      <c r="N925" s="250"/>
      <c r="O925" s="203"/>
      <c r="P925" s="248"/>
      <c r="Q925" s="201"/>
      <c r="R925" s="255"/>
      <c r="S925" s="226"/>
      <c r="T925" s="235"/>
      <c r="U925" s="483"/>
    </row>
    <row r="926" spans="1:21" ht="15.75" hidden="1" outlineLevel="3">
      <c r="A926" s="162"/>
      <c r="B926" s="152"/>
      <c r="C926" s="174" t="s">
        <v>497</v>
      </c>
      <c r="D926" s="340"/>
      <c r="E926" s="164"/>
      <c r="F926" s="165"/>
      <c r="G926" s="172"/>
      <c r="H926" s="164"/>
      <c r="I926" s="164"/>
      <c r="J926" s="164"/>
      <c r="K926" s="223"/>
      <c r="L926" s="234"/>
      <c r="M926" s="202"/>
      <c r="N926" s="250"/>
      <c r="O926" s="203"/>
      <c r="P926" s="248"/>
      <c r="Q926" s="201"/>
      <c r="R926" s="255"/>
      <c r="S926" s="226"/>
      <c r="T926" s="235"/>
      <c r="U926" s="483"/>
    </row>
    <row r="927" spans="1:21" ht="15.75" hidden="1" outlineLevel="3">
      <c r="A927" s="162"/>
      <c r="B927" s="152"/>
      <c r="C927" s="174" t="s">
        <v>499</v>
      </c>
      <c r="D927" s="340"/>
      <c r="E927" s="164"/>
      <c r="F927" s="165"/>
      <c r="G927" s="172"/>
      <c r="H927" s="164"/>
      <c r="I927" s="164"/>
      <c r="J927" s="164"/>
      <c r="K927" s="223"/>
      <c r="L927" s="234"/>
      <c r="M927" s="202"/>
      <c r="N927" s="250"/>
      <c r="O927" s="203"/>
      <c r="P927" s="248"/>
      <c r="Q927" s="201"/>
      <c r="R927" s="255"/>
      <c r="S927" s="226"/>
      <c r="T927" s="235"/>
      <c r="U927" s="483"/>
    </row>
    <row r="928" spans="1:21" ht="15.75" hidden="1" outlineLevel="3">
      <c r="A928" s="162"/>
      <c r="B928" s="152"/>
      <c r="C928" s="174" t="s">
        <v>526</v>
      </c>
      <c r="D928" s="340"/>
      <c r="E928" s="164"/>
      <c r="F928" s="165"/>
      <c r="G928" s="172"/>
      <c r="H928" s="164"/>
      <c r="I928" s="164"/>
      <c r="J928" s="164"/>
      <c r="K928" s="218"/>
      <c r="L928" s="234"/>
      <c r="M928" s="474">
        <v>110000</v>
      </c>
      <c r="N928" s="250">
        <f t="shared" ref="N928:N929" si="53">M928*1.23</f>
        <v>135300</v>
      </c>
      <c r="O928" s="203"/>
      <c r="P928" s="248"/>
      <c r="Q928" s="201"/>
      <c r="R928" s="255"/>
      <c r="S928" s="159">
        <f t="shared" ref="S928:S929" si="54">SUM(L928,N928,P928,R928)</f>
        <v>135300</v>
      </c>
      <c r="T928" s="235"/>
      <c r="U928" s="483"/>
    </row>
    <row r="929" spans="1:21" ht="15.75" hidden="1" outlineLevel="2" collapsed="1">
      <c r="A929" s="162"/>
      <c r="B929" s="152"/>
      <c r="C929" s="151" t="s">
        <v>700</v>
      </c>
      <c r="D929" s="339"/>
      <c r="E929" s="164"/>
      <c r="F929" s="165"/>
      <c r="G929" s="249"/>
      <c r="H929" s="244"/>
      <c r="I929" s="244"/>
      <c r="J929" s="244"/>
      <c r="K929" s="255"/>
      <c r="L929" s="226"/>
      <c r="M929" s="202">
        <f>SUM(M904:M928)</f>
        <v>688000</v>
      </c>
      <c r="N929" s="244">
        <f t="shared" si="53"/>
        <v>846240</v>
      </c>
      <c r="O929" s="203"/>
      <c r="P929" s="244"/>
      <c r="Q929" s="203"/>
      <c r="R929" s="255"/>
      <c r="S929" s="159">
        <f t="shared" si="54"/>
        <v>846240</v>
      </c>
      <c r="T929" s="235"/>
      <c r="U929" s="483" t="s">
        <v>699</v>
      </c>
    </row>
    <row r="930" spans="1:21" s="233" customFormat="1" hidden="1" outlineLevel="3">
      <c r="A930" s="232"/>
      <c r="B930" s="151" t="s">
        <v>682</v>
      </c>
      <c r="C930" s="171"/>
      <c r="D930" s="343"/>
      <c r="E930" s="157"/>
      <c r="F930" s="158"/>
      <c r="G930" s="197"/>
      <c r="H930" s="157"/>
      <c r="I930" s="157"/>
      <c r="J930" s="157"/>
      <c r="K930" s="215"/>
      <c r="L930" s="155"/>
      <c r="M930" s="156"/>
      <c r="N930" s="250"/>
      <c r="O930" s="157"/>
      <c r="P930" s="244"/>
      <c r="Q930" s="157"/>
      <c r="R930" s="255"/>
      <c r="S930" s="159"/>
      <c r="T930" s="225"/>
      <c r="U930" s="390" t="s">
        <v>683</v>
      </c>
    </row>
    <row r="931" spans="1:21" ht="15.75" hidden="1" outlineLevel="3">
      <c r="A931" s="162"/>
      <c r="B931" s="152"/>
      <c r="C931" s="151" t="s">
        <v>503</v>
      </c>
      <c r="D931" s="339"/>
      <c r="E931" s="164"/>
      <c r="F931" s="165"/>
      <c r="G931" s="172"/>
      <c r="H931" s="164"/>
      <c r="I931" s="164"/>
      <c r="J931" s="164"/>
      <c r="K931" s="223"/>
      <c r="L931" s="234"/>
      <c r="M931" s="202"/>
      <c r="N931" s="250"/>
      <c r="O931" s="203"/>
      <c r="P931" s="244"/>
      <c r="Q931" s="203"/>
      <c r="R931" s="255"/>
      <c r="S931" s="226"/>
      <c r="T931" s="235"/>
      <c r="U931" s="390"/>
    </row>
    <row r="932" spans="1:21" ht="15.75" hidden="1" outlineLevel="3">
      <c r="A932" s="162"/>
      <c r="B932" s="152"/>
      <c r="C932" s="236" t="s">
        <v>520</v>
      </c>
      <c r="D932" s="344"/>
      <c r="E932" s="164"/>
      <c r="F932" s="165"/>
      <c r="G932" s="172"/>
      <c r="H932" s="164"/>
      <c r="I932" s="164"/>
      <c r="J932" s="164"/>
      <c r="K932" s="223"/>
      <c r="L932" s="234"/>
      <c r="M932" s="202"/>
      <c r="N932" s="250"/>
      <c r="O932" s="203"/>
      <c r="P932" s="244"/>
      <c r="Q932" s="203"/>
      <c r="R932" s="255"/>
      <c r="S932" s="226"/>
      <c r="T932" s="235"/>
      <c r="U932" s="390"/>
    </row>
    <row r="933" spans="1:21" ht="15.75" hidden="1" outlineLevel="3">
      <c r="A933" s="162"/>
      <c r="B933" s="152"/>
      <c r="C933" s="236" t="s">
        <v>478</v>
      </c>
      <c r="D933" s="344"/>
      <c r="E933" s="164"/>
      <c r="F933" s="165"/>
      <c r="G933" s="172"/>
      <c r="H933" s="164"/>
      <c r="I933" s="164"/>
      <c r="J933" s="164"/>
      <c r="K933" s="223"/>
      <c r="L933" s="234"/>
      <c r="M933" s="202"/>
      <c r="N933" s="250"/>
      <c r="O933" s="203"/>
      <c r="P933" s="244"/>
      <c r="Q933" s="203"/>
      <c r="R933" s="255"/>
      <c r="S933" s="226"/>
      <c r="T933" s="235"/>
      <c r="U933" s="390"/>
    </row>
    <row r="934" spans="1:21" ht="15.75" hidden="1" outlineLevel="3">
      <c r="A934" s="162"/>
      <c r="B934" s="152"/>
      <c r="C934" s="236" t="s">
        <v>479</v>
      </c>
      <c r="D934" s="344"/>
      <c r="E934" s="164"/>
      <c r="F934" s="165"/>
      <c r="G934" s="172"/>
      <c r="H934" s="164"/>
      <c r="I934" s="164"/>
      <c r="J934" s="164"/>
      <c r="K934" s="223"/>
      <c r="L934" s="220"/>
      <c r="M934" s="204"/>
      <c r="N934" s="250"/>
      <c r="O934" s="203"/>
      <c r="P934" s="244"/>
      <c r="Q934" s="203"/>
      <c r="R934" s="255"/>
      <c r="S934" s="226"/>
      <c r="T934" s="235"/>
      <c r="U934" s="390"/>
    </row>
    <row r="935" spans="1:21" ht="15.75" hidden="1" outlineLevel="3">
      <c r="A935" s="162"/>
      <c r="B935" s="152"/>
      <c r="C935" s="236" t="s">
        <v>480</v>
      </c>
      <c r="D935" s="344"/>
      <c r="E935" s="164"/>
      <c r="F935" s="165"/>
      <c r="G935" s="172"/>
      <c r="H935" s="164"/>
      <c r="I935" s="164"/>
      <c r="J935" s="164"/>
      <c r="K935" s="223"/>
      <c r="L935" s="234"/>
      <c r="M935" s="202"/>
      <c r="N935" s="250"/>
      <c r="O935" s="203"/>
      <c r="P935" s="244"/>
      <c r="Q935" s="203"/>
      <c r="R935" s="255"/>
      <c r="S935" s="226"/>
      <c r="T935" s="235"/>
      <c r="U935" s="390"/>
    </row>
    <row r="936" spans="1:21" ht="15.75" hidden="1" outlineLevel="3">
      <c r="A936" s="162"/>
      <c r="B936" s="152"/>
      <c r="C936" s="236" t="s">
        <v>512</v>
      </c>
      <c r="D936" s="344"/>
      <c r="E936" s="164"/>
      <c r="F936" s="165"/>
      <c r="G936" s="172"/>
      <c r="H936" s="164"/>
      <c r="I936" s="164"/>
      <c r="J936" s="164"/>
      <c r="K936" s="223"/>
      <c r="L936" s="234"/>
      <c r="M936" s="202"/>
      <c r="N936" s="250"/>
      <c r="O936" s="203"/>
      <c r="P936" s="244"/>
      <c r="Q936" s="203"/>
      <c r="R936" s="255"/>
      <c r="S936" s="226"/>
      <c r="T936" s="235"/>
      <c r="U936" s="390"/>
    </row>
    <row r="937" spans="1:21" ht="15.75" hidden="1" outlineLevel="3">
      <c r="A937" s="162"/>
      <c r="B937" s="152"/>
      <c r="C937" s="151" t="s">
        <v>504</v>
      </c>
      <c r="D937" s="339"/>
      <c r="E937" s="164"/>
      <c r="F937" s="165"/>
      <c r="G937" s="172"/>
      <c r="H937" s="164"/>
      <c r="I937" s="164"/>
      <c r="J937" s="164"/>
      <c r="K937" s="223"/>
      <c r="L937" s="234"/>
      <c r="M937" s="202"/>
      <c r="N937" s="250"/>
      <c r="O937" s="203"/>
      <c r="P937" s="244"/>
      <c r="Q937" s="203"/>
      <c r="R937" s="255"/>
      <c r="S937" s="226"/>
      <c r="T937" s="235"/>
      <c r="U937" s="390"/>
    </row>
    <row r="938" spans="1:21" ht="15.75" hidden="1" outlineLevel="3">
      <c r="A938" s="162"/>
      <c r="B938" s="152"/>
      <c r="C938" s="236" t="s">
        <v>483</v>
      </c>
      <c r="D938" s="344"/>
      <c r="E938" s="164"/>
      <c r="F938" s="165"/>
      <c r="G938" s="172"/>
      <c r="H938" s="164"/>
      <c r="I938" s="164"/>
      <c r="J938" s="164"/>
      <c r="K938" s="223"/>
      <c r="L938" s="234"/>
      <c r="M938" s="202"/>
      <c r="N938" s="250"/>
      <c r="O938" s="203"/>
      <c r="P938" s="244"/>
      <c r="Q938" s="203"/>
      <c r="R938" s="255"/>
      <c r="S938" s="226"/>
      <c r="T938" s="235"/>
      <c r="U938" s="390"/>
    </row>
    <row r="939" spans="1:21" ht="15.75" hidden="1" outlineLevel="3">
      <c r="A939" s="162"/>
      <c r="B939" s="152"/>
      <c r="C939" s="236" t="s">
        <v>484</v>
      </c>
      <c r="D939" s="344"/>
      <c r="E939" s="164"/>
      <c r="F939" s="165"/>
      <c r="G939" s="172"/>
      <c r="H939" s="164"/>
      <c r="I939" s="164"/>
      <c r="J939" s="164"/>
      <c r="K939" s="223"/>
      <c r="L939" s="234"/>
      <c r="M939" s="202"/>
      <c r="N939" s="250"/>
      <c r="O939" s="203"/>
      <c r="P939" s="244"/>
      <c r="Q939" s="203"/>
      <c r="R939" s="255"/>
      <c r="S939" s="159"/>
      <c r="T939" s="235"/>
      <c r="U939" s="390"/>
    </row>
    <row r="940" spans="1:21" ht="15.75" hidden="1" outlineLevel="3">
      <c r="A940" s="162"/>
      <c r="B940" s="152"/>
      <c r="C940" s="236" t="s">
        <v>479</v>
      </c>
      <c r="D940" s="344"/>
      <c r="E940" s="164"/>
      <c r="F940" s="165"/>
      <c r="G940" s="172"/>
      <c r="H940" s="164"/>
      <c r="I940" s="164"/>
      <c r="J940" s="164"/>
      <c r="K940" s="223"/>
      <c r="L940" s="234"/>
      <c r="M940" s="202"/>
      <c r="N940" s="250"/>
      <c r="O940" s="203"/>
      <c r="P940" s="244"/>
      <c r="Q940" s="203"/>
      <c r="R940" s="255"/>
      <c r="S940" s="226"/>
      <c r="T940" s="235"/>
      <c r="U940" s="390"/>
    </row>
    <row r="941" spans="1:21" ht="15.75" hidden="1" outlineLevel="3">
      <c r="A941" s="162"/>
      <c r="B941" s="152"/>
      <c r="C941" s="236" t="s">
        <v>485</v>
      </c>
      <c r="D941" s="344"/>
      <c r="E941" s="164"/>
      <c r="F941" s="165"/>
      <c r="G941" s="172"/>
      <c r="H941" s="164"/>
      <c r="I941" s="164"/>
      <c r="J941" s="164"/>
      <c r="K941" s="223"/>
      <c r="L941" s="234"/>
      <c r="M941" s="202"/>
      <c r="N941" s="250"/>
      <c r="O941" s="203"/>
      <c r="P941" s="244"/>
      <c r="Q941" s="203"/>
      <c r="R941" s="255"/>
      <c r="S941" s="226"/>
      <c r="T941" s="235"/>
      <c r="U941" s="390"/>
    </row>
    <row r="942" spans="1:21" ht="15.75" hidden="1" outlineLevel="3">
      <c r="A942" s="162"/>
      <c r="B942" s="152"/>
      <c r="C942" s="151" t="s">
        <v>505</v>
      </c>
      <c r="D942" s="339"/>
      <c r="E942" s="164"/>
      <c r="F942" s="165"/>
      <c r="G942" s="172"/>
      <c r="H942" s="164"/>
      <c r="I942" s="164"/>
      <c r="J942" s="164"/>
      <c r="K942" s="223"/>
      <c r="L942" s="234"/>
      <c r="M942" s="202"/>
      <c r="N942" s="250"/>
      <c r="O942" s="203"/>
      <c r="P942" s="244"/>
      <c r="Q942" s="203"/>
      <c r="R942" s="255"/>
      <c r="S942" s="226"/>
      <c r="T942" s="235"/>
      <c r="U942" s="390"/>
    </row>
    <row r="943" spans="1:21" ht="15.75" hidden="1" outlineLevel="3">
      <c r="A943" s="162"/>
      <c r="B943" s="152"/>
      <c r="C943" s="236" t="s">
        <v>487</v>
      </c>
      <c r="D943" s="344"/>
      <c r="E943" s="164"/>
      <c r="F943" s="165"/>
      <c r="G943" s="172"/>
      <c r="H943" s="164"/>
      <c r="I943" s="164"/>
      <c r="J943" s="164"/>
      <c r="K943" s="223"/>
      <c r="L943" s="234"/>
      <c r="M943" s="202"/>
      <c r="N943" s="250"/>
      <c r="O943" s="203"/>
      <c r="P943" s="244"/>
      <c r="Q943" s="203"/>
      <c r="R943" s="255"/>
      <c r="S943" s="226"/>
      <c r="T943" s="235"/>
      <c r="U943" s="390"/>
    </row>
    <row r="944" spans="1:21" ht="15.75" hidden="1" outlineLevel="3">
      <c r="A944" s="162"/>
      <c r="B944" s="152"/>
      <c r="C944" s="236" t="s">
        <v>479</v>
      </c>
      <c r="D944" s="344"/>
      <c r="E944" s="164"/>
      <c r="F944" s="165"/>
      <c r="G944" s="172"/>
      <c r="H944" s="164"/>
      <c r="I944" s="164"/>
      <c r="J944" s="164"/>
      <c r="K944" s="223"/>
      <c r="L944" s="234"/>
      <c r="M944" s="202">
        <v>100000</v>
      </c>
      <c r="N944" s="250">
        <f>M944*1.23</f>
        <v>123000</v>
      </c>
      <c r="O944" s="203"/>
      <c r="P944" s="244"/>
      <c r="Q944" s="203"/>
      <c r="R944" s="255"/>
      <c r="S944" s="159">
        <f t="shared" ref="S944" si="55">SUM(L944,N944,P944,R944)</f>
        <v>123000</v>
      </c>
      <c r="T944" s="235"/>
      <c r="U944" s="390" t="s">
        <v>684</v>
      </c>
    </row>
    <row r="945" spans="1:21" ht="15.75" hidden="1" outlineLevel="3">
      <c r="A945" s="162"/>
      <c r="B945" s="152"/>
      <c r="C945" s="236" t="s">
        <v>488</v>
      </c>
      <c r="D945" s="344"/>
      <c r="E945" s="164"/>
      <c r="F945" s="165"/>
      <c r="G945" s="172"/>
      <c r="H945" s="164"/>
      <c r="I945" s="164"/>
      <c r="J945" s="164"/>
      <c r="K945" s="223"/>
      <c r="L945" s="234"/>
      <c r="M945" s="202"/>
      <c r="N945" s="250"/>
      <c r="O945" s="203"/>
      <c r="P945" s="244"/>
      <c r="Q945" s="203"/>
      <c r="R945" s="255"/>
      <c r="S945" s="226"/>
      <c r="T945" s="235"/>
      <c r="U945" s="390"/>
    </row>
    <row r="946" spans="1:21" ht="15.75" hidden="1" outlineLevel="3">
      <c r="A946" s="162"/>
      <c r="B946" s="152"/>
      <c r="C946" s="236" t="s">
        <v>489</v>
      </c>
      <c r="D946" s="344"/>
      <c r="E946" s="164"/>
      <c r="F946" s="165"/>
      <c r="G946" s="172"/>
      <c r="H946" s="164"/>
      <c r="I946" s="164"/>
      <c r="J946" s="164"/>
      <c r="K946" s="223"/>
      <c r="L946" s="234"/>
      <c r="M946" s="202"/>
      <c r="N946" s="250"/>
      <c r="O946" s="203"/>
      <c r="P946" s="244"/>
      <c r="Q946" s="203"/>
      <c r="R946" s="255"/>
      <c r="S946" s="226"/>
      <c r="T946" s="235"/>
      <c r="U946" s="390"/>
    </row>
    <row r="947" spans="1:21" ht="15.75" hidden="1" outlineLevel="3">
      <c r="A947" s="162"/>
      <c r="B947" s="152"/>
      <c r="C947" s="151" t="s">
        <v>506</v>
      </c>
      <c r="D947" s="339"/>
      <c r="E947" s="164"/>
      <c r="F947" s="165"/>
      <c r="G947" s="172"/>
      <c r="H947" s="164"/>
      <c r="I947" s="164"/>
      <c r="J947" s="164"/>
      <c r="K947" s="223"/>
      <c r="L947" s="234"/>
      <c r="M947" s="202"/>
      <c r="N947" s="250"/>
      <c r="O947" s="203"/>
      <c r="P947" s="244"/>
      <c r="Q947" s="203"/>
      <c r="R947" s="255"/>
      <c r="S947" s="226"/>
      <c r="T947" s="235"/>
      <c r="U947" s="390"/>
    </row>
    <row r="948" spans="1:21" ht="15.75" hidden="1" outlineLevel="3">
      <c r="A948" s="162"/>
      <c r="B948" s="152"/>
      <c r="C948" s="236" t="s">
        <v>491</v>
      </c>
      <c r="D948" s="344"/>
      <c r="E948" s="164"/>
      <c r="F948" s="165"/>
      <c r="G948" s="172"/>
      <c r="H948" s="164"/>
      <c r="I948" s="164"/>
      <c r="J948" s="164"/>
      <c r="K948" s="223"/>
      <c r="L948" s="234"/>
      <c r="M948" s="202"/>
      <c r="N948" s="250"/>
      <c r="O948" s="203"/>
      <c r="P948" s="244"/>
      <c r="Q948" s="203"/>
      <c r="R948" s="255"/>
      <c r="S948" s="226"/>
      <c r="T948" s="235"/>
      <c r="U948" s="390"/>
    </row>
    <row r="949" spans="1:21" ht="15.75" hidden="1" outlineLevel="3">
      <c r="A949" s="162"/>
      <c r="B949" s="152"/>
      <c r="C949" s="236" t="s">
        <v>492</v>
      </c>
      <c r="D949" s="344"/>
      <c r="E949" s="211"/>
      <c r="F949" s="211"/>
      <c r="G949" s="172"/>
      <c r="H949" s="164"/>
      <c r="I949" s="164"/>
      <c r="J949" s="164"/>
      <c r="K949" s="218"/>
      <c r="L949" s="234"/>
      <c r="M949" s="167">
        <v>240000</v>
      </c>
      <c r="N949" s="250">
        <f>M949*1.23</f>
        <v>295200</v>
      </c>
      <c r="O949" s="203"/>
      <c r="P949" s="244"/>
      <c r="Q949" s="203"/>
      <c r="R949" s="255"/>
      <c r="S949" s="159">
        <f t="shared" ref="S949" si="56">SUM(L949,N949,P949,R949)</f>
        <v>295200</v>
      </c>
      <c r="T949" s="235"/>
      <c r="U949" s="390" t="s">
        <v>685</v>
      </c>
    </row>
    <row r="950" spans="1:21" ht="15.75" hidden="1" outlineLevel="3">
      <c r="A950" s="162"/>
      <c r="B950" s="152"/>
      <c r="C950" s="236" t="s">
        <v>493</v>
      </c>
      <c r="D950" s="344"/>
      <c r="E950" s="164"/>
      <c r="F950" s="165"/>
      <c r="G950" s="172"/>
      <c r="H950" s="164"/>
      <c r="I950" s="164"/>
      <c r="J950" s="164"/>
      <c r="K950" s="223"/>
      <c r="L950" s="234"/>
      <c r="M950" s="202"/>
      <c r="N950" s="250"/>
      <c r="O950" s="203"/>
      <c r="P950" s="244"/>
      <c r="Q950" s="203"/>
      <c r="R950" s="255"/>
      <c r="S950" s="226"/>
      <c r="T950" s="235"/>
      <c r="U950" s="390"/>
    </row>
    <row r="951" spans="1:21" ht="15.75" hidden="1" outlineLevel="3">
      <c r="A951" s="162"/>
      <c r="B951" s="152"/>
      <c r="C951" s="236" t="s">
        <v>494</v>
      </c>
      <c r="D951" s="344"/>
      <c r="E951" s="164"/>
      <c r="F951" s="165"/>
      <c r="G951" s="172"/>
      <c r="H951" s="164"/>
      <c r="I951" s="164"/>
      <c r="J951" s="164"/>
      <c r="K951" s="223"/>
      <c r="L951" s="234"/>
      <c r="M951" s="202"/>
      <c r="N951" s="250"/>
      <c r="O951" s="203"/>
      <c r="P951" s="244"/>
      <c r="Q951" s="203"/>
      <c r="R951" s="255"/>
      <c r="S951" s="226"/>
      <c r="T951" s="235"/>
      <c r="U951" s="483"/>
    </row>
    <row r="952" spans="1:21" ht="15.75" hidden="1" outlineLevel="3">
      <c r="A952" s="162"/>
      <c r="B952" s="152"/>
      <c r="C952" s="151" t="s">
        <v>507</v>
      </c>
      <c r="D952" s="339"/>
      <c r="E952" s="164"/>
      <c r="F952" s="165"/>
      <c r="G952" s="172"/>
      <c r="H952" s="164"/>
      <c r="I952" s="164"/>
      <c r="J952" s="164"/>
      <c r="K952" s="223"/>
      <c r="L952" s="234"/>
      <c r="M952" s="202"/>
      <c r="N952" s="250"/>
      <c r="O952" s="203"/>
      <c r="P952" s="244"/>
      <c r="Q952" s="203"/>
      <c r="R952" s="255"/>
      <c r="S952" s="226"/>
      <c r="T952" s="235"/>
      <c r="U952" s="390"/>
    </row>
    <row r="953" spans="1:21" ht="15.75" hidden="1" outlineLevel="3">
      <c r="A953" s="162"/>
      <c r="B953" s="152"/>
      <c r="C953" s="174" t="s">
        <v>496</v>
      </c>
      <c r="D953" s="340"/>
      <c r="E953" s="164"/>
      <c r="F953" s="165"/>
      <c r="G953" s="172"/>
      <c r="H953" s="164"/>
      <c r="I953" s="164"/>
      <c r="J953" s="164"/>
      <c r="K953" s="223"/>
      <c r="L953" s="234"/>
      <c r="M953" s="202"/>
      <c r="N953" s="250"/>
      <c r="O953" s="203"/>
      <c r="P953" s="244"/>
      <c r="Q953" s="203"/>
      <c r="R953" s="255"/>
      <c r="S953" s="226"/>
      <c r="T953" s="235"/>
      <c r="U953" s="390"/>
    </row>
    <row r="954" spans="1:21" ht="15.75" hidden="1" outlineLevel="3">
      <c r="A954" s="162"/>
      <c r="B954" s="152"/>
      <c r="C954" s="174" t="s">
        <v>497</v>
      </c>
      <c r="D954" s="340"/>
      <c r="E954" s="164"/>
      <c r="F954" s="165"/>
      <c r="G954" s="172"/>
      <c r="H954" s="164"/>
      <c r="I954" s="164"/>
      <c r="J954" s="164"/>
      <c r="K954" s="223"/>
      <c r="L954" s="234"/>
      <c r="M954" s="202"/>
      <c r="N954" s="250"/>
      <c r="O954" s="203"/>
      <c r="P954" s="244"/>
      <c r="Q954" s="203"/>
      <c r="R954" s="255"/>
      <c r="S954" s="226"/>
      <c r="T954" s="235"/>
      <c r="U954" s="390"/>
    </row>
    <row r="955" spans="1:21" ht="15.75" hidden="1" outlineLevel="3">
      <c r="A955" s="162"/>
      <c r="B955" s="152"/>
      <c r="C955" s="174" t="s">
        <v>499</v>
      </c>
      <c r="D955" s="340"/>
      <c r="E955" s="164"/>
      <c r="F955" s="165"/>
      <c r="G955" s="172"/>
      <c r="H955" s="164"/>
      <c r="I955" s="164"/>
      <c r="J955" s="164"/>
      <c r="K955" s="223"/>
      <c r="L955" s="234"/>
      <c r="M955" s="202"/>
      <c r="N955" s="250"/>
      <c r="O955" s="203"/>
      <c r="P955" s="244"/>
      <c r="Q955" s="203"/>
      <c r="R955" s="255"/>
      <c r="S955" s="226"/>
      <c r="T955" s="235"/>
      <c r="U955" s="390"/>
    </row>
    <row r="956" spans="1:21" ht="15.75" hidden="1" outlineLevel="3">
      <c r="A956" s="162"/>
      <c r="B956" s="152"/>
      <c r="C956" s="174" t="s">
        <v>526</v>
      </c>
      <c r="D956" s="340"/>
      <c r="E956" s="164"/>
      <c r="F956" s="165"/>
      <c r="G956" s="172"/>
      <c r="H956" s="219"/>
      <c r="I956" s="164"/>
      <c r="J956" s="164"/>
      <c r="K956" s="223"/>
      <c r="L956" s="234"/>
      <c r="M956" s="203">
        <v>127000</v>
      </c>
      <c r="N956" s="250">
        <f t="shared" ref="N956:N957" si="57">M956*1.23</f>
        <v>156210</v>
      </c>
      <c r="O956" s="203"/>
      <c r="P956" s="244"/>
      <c r="Q956" s="203"/>
      <c r="R956" s="255"/>
      <c r="S956" s="159">
        <f t="shared" ref="S956:S957" si="58">SUM(L956,N956,P956,R956)</f>
        <v>156210</v>
      </c>
      <c r="T956" s="235"/>
      <c r="U956" s="483" t="s">
        <v>686</v>
      </c>
    </row>
    <row r="957" spans="1:21" ht="15.75" hidden="1" outlineLevel="2" collapsed="1">
      <c r="A957" s="162"/>
      <c r="B957" s="152"/>
      <c r="C957" s="151" t="s">
        <v>682</v>
      </c>
      <c r="D957" s="339"/>
      <c r="E957" s="164"/>
      <c r="F957" s="165"/>
      <c r="G957" s="249"/>
      <c r="H957" s="244"/>
      <c r="I957" s="244"/>
      <c r="J957" s="244"/>
      <c r="K957" s="255"/>
      <c r="L957" s="226"/>
      <c r="M957" s="202">
        <f>SUM(M932:M956)</f>
        <v>467000</v>
      </c>
      <c r="N957" s="244">
        <f t="shared" si="57"/>
        <v>574410</v>
      </c>
      <c r="O957" s="203"/>
      <c r="P957" s="244"/>
      <c r="Q957" s="203"/>
      <c r="R957" s="255"/>
      <c r="S957" s="159">
        <f t="shared" si="58"/>
        <v>574410</v>
      </c>
      <c r="T957" s="235"/>
      <c r="U957" s="483" t="s">
        <v>687</v>
      </c>
    </row>
    <row r="958" spans="1:21" s="233" customFormat="1" hidden="1" outlineLevel="3">
      <c r="A958" s="232"/>
      <c r="B958" s="151" t="s">
        <v>680</v>
      </c>
      <c r="C958" s="171"/>
      <c r="D958" s="343"/>
      <c r="E958" s="157"/>
      <c r="F958" s="158"/>
      <c r="G958" s="197"/>
      <c r="H958" s="157"/>
      <c r="I958" s="157"/>
      <c r="J958" s="157"/>
      <c r="K958" s="215"/>
      <c r="L958" s="155"/>
      <c r="M958" s="156"/>
      <c r="N958" s="250"/>
      <c r="O958" s="157"/>
      <c r="P958" s="244"/>
      <c r="Q958" s="157"/>
      <c r="R958" s="255"/>
      <c r="S958" s="159"/>
      <c r="T958" s="225"/>
      <c r="U958" s="390"/>
    </row>
    <row r="959" spans="1:21" ht="15.75" hidden="1" outlineLevel="3">
      <c r="A959" s="162"/>
      <c r="B959" s="152"/>
      <c r="C959" s="151" t="s">
        <v>503</v>
      </c>
      <c r="D959" s="339"/>
      <c r="E959" s="164"/>
      <c r="F959" s="165"/>
      <c r="G959" s="172"/>
      <c r="H959" s="164"/>
      <c r="I959" s="164"/>
      <c r="J959" s="164"/>
      <c r="K959" s="223"/>
      <c r="L959" s="234"/>
      <c r="M959" s="202"/>
      <c r="N959" s="250"/>
      <c r="O959" s="203"/>
      <c r="P959" s="244"/>
      <c r="Q959" s="203"/>
      <c r="R959" s="255"/>
      <c r="S959" s="226"/>
      <c r="T959" s="235"/>
      <c r="U959" s="390"/>
    </row>
    <row r="960" spans="1:21" ht="15.75" hidden="1" outlineLevel="3">
      <c r="A960" s="162"/>
      <c r="B960" s="152"/>
      <c r="C960" s="236" t="s">
        <v>520</v>
      </c>
      <c r="D960" s="344"/>
      <c r="E960" s="164"/>
      <c r="F960" s="165"/>
      <c r="G960" s="172"/>
      <c r="H960" s="164"/>
      <c r="I960" s="164"/>
      <c r="J960" s="164"/>
      <c r="K960" s="223"/>
      <c r="L960" s="234"/>
      <c r="M960" s="202"/>
      <c r="N960" s="250"/>
      <c r="O960" s="203"/>
      <c r="P960" s="244"/>
      <c r="Q960" s="203"/>
      <c r="R960" s="255"/>
      <c r="S960" s="226"/>
      <c r="T960" s="235"/>
      <c r="U960" s="390"/>
    </row>
    <row r="961" spans="1:21" ht="15.75" hidden="1" outlineLevel="3">
      <c r="A961" s="162"/>
      <c r="B961" s="152"/>
      <c r="C961" s="236" t="s">
        <v>478</v>
      </c>
      <c r="D961" s="344"/>
      <c r="E961" s="164"/>
      <c r="F961" s="165"/>
      <c r="G961" s="172"/>
      <c r="H961" s="164"/>
      <c r="I961" s="164"/>
      <c r="J961" s="164"/>
      <c r="K961" s="223"/>
      <c r="L961" s="234"/>
      <c r="M961" s="202"/>
      <c r="N961" s="250"/>
      <c r="O961" s="203"/>
      <c r="P961" s="244"/>
      <c r="Q961" s="203"/>
      <c r="R961" s="255"/>
      <c r="S961" s="226"/>
      <c r="T961" s="235"/>
      <c r="U961" s="390"/>
    </row>
    <row r="962" spans="1:21" ht="15.75" hidden="1" outlineLevel="3">
      <c r="A962" s="162"/>
      <c r="B962" s="152"/>
      <c r="C962" s="236" t="s">
        <v>479</v>
      </c>
      <c r="D962" s="344"/>
      <c r="E962" s="164"/>
      <c r="F962" s="165"/>
      <c r="G962" s="172"/>
      <c r="H962" s="164"/>
      <c r="I962" s="164"/>
      <c r="J962" s="164"/>
      <c r="K962" s="223"/>
      <c r="L962" s="220"/>
      <c r="M962" s="204"/>
      <c r="N962" s="250"/>
      <c r="O962" s="203"/>
      <c r="P962" s="244"/>
      <c r="Q962" s="203"/>
      <c r="R962" s="255"/>
      <c r="S962" s="226"/>
      <c r="T962" s="235"/>
      <c r="U962" s="390"/>
    </row>
    <row r="963" spans="1:21" ht="15.75" hidden="1" outlineLevel="3">
      <c r="A963" s="162"/>
      <c r="B963" s="152"/>
      <c r="C963" s="236" t="s">
        <v>480</v>
      </c>
      <c r="D963" s="344"/>
      <c r="E963" s="164"/>
      <c r="F963" s="165"/>
      <c r="G963" s="172"/>
      <c r="H963" s="164"/>
      <c r="I963" s="164"/>
      <c r="J963" s="164"/>
      <c r="K963" s="223"/>
      <c r="L963" s="234"/>
      <c r="M963" s="202"/>
      <c r="N963" s="250"/>
      <c r="O963" s="203"/>
      <c r="P963" s="244"/>
      <c r="Q963" s="203"/>
      <c r="R963" s="255"/>
      <c r="S963" s="226"/>
      <c r="T963" s="235"/>
      <c r="U963" s="390"/>
    </row>
    <row r="964" spans="1:21" ht="15.75" hidden="1" outlineLevel="3">
      <c r="A964" s="162"/>
      <c r="B964" s="152"/>
      <c r="C964" s="236" t="s">
        <v>512</v>
      </c>
      <c r="D964" s="344"/>
      <c r="E964" s="164"/>
      <c r="F964" s="165"/>
      <c r="G964" s="172"/>
      <c r="H964" s="164"/>
      <c r="I964" s="164"/>
      <c r="J964" s="164"/>
      <c r="K964" s="223"/>
      <c r="L964" s="234"/>
      <c r="M964" s="202"/>
      <c r="N964" s="250"/>
      <c r="O964" s="203"/>
      <c r="P964" s="244"/>
      <c r="Q964" s="203"/>
      <c r="R964" s="255"/>
      <c r="S964" s="226"/>
      <c r="T964" s="235"/>
      <c r="U964" s="390"/>
    </row>
    <row r="965" spans="1:21" ht="15.75" hidden="1" outlineLevel="3">
      <c r="A965" s="162"/>
      <c r="B965" s="152"/>
      <c r="C965" s="151" t="s">
        <v>504</v>
      </c>
      <c r="D965" s="339"/>
      <c r="E965" s="164"/>
      <c r="F965" s="165"/>
      <c r="G965" s="172"/>
      <c r="H965" s="164"/>
      <c r="I965" s="164"/>
      <c r="J965" s="164"/>
      <c r="K965" s="223"/>
      <c r="L965" s="234"/>
      <c r="M965" s="202"/>
      <c r="N965" s="250"/>
      <c r="O965" s="203"/>
      <c r="P965" s="244"/>
      <c r="Q965" s="203"/>
      <c r="R965" s="255"/>
      <c r="S965" s="226"/>
      <c r="T965" s="235"/>
      <c r="U965" s="390"/>
    </row>
    <row r="966" spans="1:21" ht="15.75" hidden="1" outlineLevel="3">
      <c r="A966" s="162"/>
      <c r="B966" s="152"/>
      <c r="C966" s="236" t="s">
        <v>483</v>
      </c>
      <c r="D966" s="344"/>
      <c r="E966" s="164"/>
      <c r="F966" s="165"/>
      <c r="G966" s="172"/>
      <c r="H966" s="164"/>
      <c r="I966" s="164"/>
      <c r="J966" s="164"/>
      <c r="K966" s="223"/>
      <c r="L966" s="234"/>
      <c r="M966" s="202"/>
      <c r="N966" s="250"/>
      <c r="O966" s="203"/>
      <c r="P966" s="244"/>
      <c r="Q966" s="203"/>
      <c r="R966" s="255"/>
      <c r="S966" s="226"/>
      <c r="T966" s="235"/>
      <c r="U966" s="390"/>
    </row>
    <row r="967" spans="1:21" ht="15.75" hidden="1" outlineLevel="3">
      <c r="A967" s="162"/>
      <c r="B967" s="152"/>
      <c r="C967" s="236" t="s">
        <v>484</v>
      </c>
      <c r="D967" s="344"/>
      <c r="E967" s="164"/>
      <c r="F967" s="165"/>
      <c r="G967" s="172"/>
      <c r="H967" s="164"/>
      <c r="I967" s="164"/>
      <c r="J967" s="164"/>
      <c r="K967" s="223"/>
      <c r="L967" s="234"/>
      <c r="M967" s="202"/>
      <c r="N967" s="250"/>
      <c r="O967" s="203"/>
      <c r="P967" s="244"/>
      <c r="Q967" s="203"/>
      <c r="R967" s="255"/>
      <c r="S967" s="226"/>
      <c r="T967" s="235"/>
      <c r="U967" s="390"/>
    </row>
    <row r="968" spans="1:21" ht="15.75" hidden="1" outlineLevel="3">
      <c r="A968" s="162"/>
      <c r="B968" s="152"/>
      <c r="C968" s="236" t="s">
        <v>479</v>
      </c>
      <c r="D968" s="344"/>
      <c r="E968" s="164"/>
      <c r="F968" s="165"/>
      <c r="G968" s="172"/>
      <c r="H968" s="164"/>
      <c r="I968" s="164"/>
      <c r="J968" s="164"/>
      <c r="K968" s="223"/>
      <c r="L968" s="234"/>
      <c r="M968" s="202"/>
      <c r="N968" s="250"/>
      <c r="O968" s="203"/>
      <c r="P968" s="244"/>
      <c r="Q968" s="203"/>
      <c r="R968" s="255"/>
      <c r="S968" s="226"/>
      <c r="T968" s="235"/>
      <c r="U968" s="390"/>
    </row>
    <row r="969" spans="1:21" ht="15.75" hidden="1" outlineLevel="3">
      <c r="A969" s="162"/>
      <c r="B969" s="152"/>
      <c r="C969" s="236" t="s">
        <v>485</v>
      </c>
      <c r="D969" s="344"/>
      <c r="E969" s="164"/>
      <c r="F969" s="165"/>
      <c r="G969" s="172"/>
      <c r="H969" s="164"/>
      <c r="I969" s="164"/>
      <c r="J969" s="164"/>
      <c r="K969" s="223"/>
      <c r="L969" s="234"/>
      <c r="M969" s="202"/>
      <c r="N969" s="250"/>
      <c r="O969" s="203"/>
      <c r="P969" s="244"/>
      <c r="Q969" s="203"/>
      <c r="R969" s="255"/>
      <c r="S969" s="226"/>
      <c r="T969" s="235"/>
      <c r="U969" s="390"/>
    </row>
    <row r="970" spans="1:21" ht="15.75" hidden="1" outlineLevel="3">
      <c r="A970" s="162"/>
      <c r="B970" s="152"/>
      <c r="C970" s="151" t="s">
        <v>505</v>
      </c>
      <c r="D970" s="339"/>
      <c r="E970" s="164"/>
      <c r="F970" s="165"/>
      <c r="G970" s="172"/>
      <c r="H970" s="164"/>
      <c r="I970" s="164"/>
      <c r="J970" s="164"/>
      <c r="K970" s="223"/>
      <c r="L970" s="234"/>
      <c r="M970" s="202"/>
      <c r="N970" s="250"/>
      <c r="O970" s="203"/>
      <c r="P970" s="244"/>
      <c r="Q970" s="203"/>
      <c r="R970" s="255"/>
      <c r="S970" s="226"/>
      <c r="T970" s="235"/>
      <c r="U970" s="390"/>
    </row>
    <row r="971" spans="1:21" ht="15.75" hidden="1" outlineLevel="3">
      <c r="A971" s="162"/>
      <c r="B971" s="152"/>
      <c r="C971" s="236" t="s">
        <v>487</v>
      </c>
      <c r="D971" s="344"/>
      <c r="E971" s="164"/>
      <c r="F971" s="165"/>
      <c r="G971" s="172"/>
      <c r="H971" s="164"/>
      <c r="I971" s="164"/>
      <c r="J971" s="164"/>
      <c r="K971" s="223"/>
      <c r="L971" s="234"/>
      <c r="M971" s="202"/>
      <c r="N971" s="250"/>
      <c r="O971" s="203"/>
      <c r="P971" s="244"/>
      <c r="Q971" s="203"/>
      <c r="R971" s="255"/>
      <c r="S971" s="226"/>
      <c r="T971" s="235"/>
      <c r="U971" s="390"/>
    </row>
    <row r="972" spans="1:21" ht="15.75" hidden="1" outlineLevel="3">
      <c r="A972" s="162"/>
      <c r="B972" s="152"/>
      <c r="C972" s="236" t="s">
        <v>479</v>
      </c>
      <c r="D972" s="344"/>
      <c r="E972" s="164"/>
      <c r="F972" s="165"/>
      <c r="G972" s="172"/>
      <c r="H972" s="164"/>
      <c r="I972" s="164"/>
      <c r="J972" s="164"/>
      <c r="K972" s="223"/>
      <c r="L972" s="234"/>
      <c r="M972" s="202"/>
      <c r="N972" s="250"/>
      <c r="O972" s="203"/>
      <c r="P972" s="244"/>
      <c r="Q972" s="203"/>
      <c r="R972" s="255"/>
      <c r="S972" s="226"/>
      <c r="T972" s="235"/>
      <c r="U972" s="390"/>
    </row>
    <row r="973" spans="1:21" ht="15.75" hidden="1" outlineLevel="3">
      <c r="A973" s="162"/>
      <c r="B973" s="152"/>
      <c r="C973" s="236" t="s">
        <v>488</v>
      </c>
      <c r="D973" s="344"/>
      <c r="E973" s="164"/>
      <c r="F973" s="165"/>
      <c r="G973" s="172"/>
      <c r="H973" s="164"/>
      <c r="I973" s="164"/>
      <c r="J973" s="164"/>
      <c r="K973" s="223"/>
      <c r="L973" s="234"/>
      <c r="M973" s="202"/>
      <c r="N973" s="250"/>
      <c r="O973" s="203"/>
      <c r="P973" s="244"/>
      <c r="Q973" s="203"/>
      <c r="R973" s="255"/>
      <c r="S973" s="226"/>
      <c r="T973" s="235"/>
      <c r="U973" s="390"/>
    </row>
    <row r="974" spans="1:21" ht="15.75" hidden="1" outlineLevel="3">
      <c r="A974" s="162"/>
      <c r="B974" s="152"/>
      <c r="C974" s="236" t="s">
        <v>489</v>
      </c>
      <c r="D974" s="344"/>
      <c r="E974" s="164"/>
      <c r="F974" s="165"/>
      <c r="G974" s="172"/>
      <c r="H974" s="164"/>
      <c r="I974" s="164"/>
      <c r="J974" s="164"/>
      <c r="K974" s="223"/>
      <c r="L974" s="234"/>
      <c r="M974" s="202"/>
      <c r="N974" s="250"/>
      <c r="O974" s="203"/>
      <c r="P974" s="244"/>
      <c r="Q974" s="203"/>
      <c r="R974" s="255"/>
      <c r="S974" s="226"/>
      <c r="T974" s="235"/>
      <c r="U974" s="390"/>
    </row>
    <row r="975" spans="1:21" ht="15.75" hidden="1" outlineLevel="3">
      <c r="A975" s="162"/>
      <c r="B975" s="152"/>
      <c r="C975" s="151" t="s">
        <v>506</v>
      </c>
      <c r="D975" s="339"/>
      <c r="E975" s="164"/>
      <c r="F975" s="165"/>
      <c r="G975" s="172"/>
      <c r="H975" s="164"/>
      <c r="I975" s="164"/>
      <c r="J975" s="164"/>
      <c r="K975" s="223"/>
      <c r="L975" s="234"/>
      <c r="M975" s="202"/>
      <c r="N975" s="250"/>
      <c r="O975" s="203"/>
      <c r="P975" s="244"/>
      <c r="Q975" s="203"/>
      <c r="R975" s="255"/>
      <c r="S975" s="226"/>
      <c r="T975" s="235"/>
      <c r="U975" s="390"/>
    </row>
    <row r="976" spans="1:21" ht="15.75" hidden="1" outlineLevel="3">
      <c r="A976" s="162"/>
      <c r="B976" s="152"/>
      <c r="C976" s="236" t="s">
        <v>491</v>
      </c>
      <c r="D976" s="344"/>
      <c r="E976" s="164"/>
      <c r="F976" s="165"/>
      <c r="G976" s="172"/>
      <c r="H976" s="164"/>
      <c r="I976" s="164"/>
      <c r="J976" s="164"/>
      <c r="K976" s="223"/>
      <c r="L976" s="234"/>
      <c r="M976" s="202"/>
      <c r="N976" s="250"/>
      <c r="O976" s="203"/>
      <c r="P976" s="244"/>
      <c r="Q976" s="203"/>
      <c r="R976" s="255"/>
      <c r="S976" s="226"/>
      <c r="T976" s="235"/>
      <c r="U976" s="390"/>
    </row>
    <row r="977" spans="1:21" ht="15.75" hidden="1" outlineLevel="3">
      <c r="A977" s="162"/>
      <c r="B977" s="152"/>
      <c r="C977" s="236" t="s">
        <v>492</v>
      </c>
      <c r="D977" s="344"/>
      <c r="E977" s="211"/>
      <c r="F977" s="211"/>
      <c r="G977" s="172"/>
      <c r="H977" s="164"/>
      <c r="I977" s="164"/>
      <c r="J977" s="164"/>
      <c r="K977" s="218"/>
      <c r="L977" s="234"/>
      <c r="M977" s="206"/>
      <c r="N977" s="250"/>
      <c r="O977" s="203"/>
      <c r="P977" s="244"/>
      <c r="Q977" s="203"/>
      <c r="R977" s="255"/>
      <c r="S977" s="226"/>
      <c r="T977" s="235"/>
      <c r="U977" s="390"/>
    </row>
    <row r="978" spans="1:21" ht="15.75" hidden="1" outlineLevel="3">
      <c r="A978" s="162"/>
      <c r="B978" s="152"/>
      <c r="C978" s="236" t="s">
        <v>493</v>
      </c>
      <c r="D978" s="344"/>
      <c r="E978" s="164"/>
      <c r="F978" s="165"/>
      <c r="G978" s="172"/>
      <c r="H978" s="164"/>
      <c r="I978" s="164"/>
      <c r="J978" s="164"/>
      <c r="K978" s="223"/>
      <c r="L978" s="234"/>
      <c r="M978" s="202"/>
      <c r="N978" s="250"/>
      <c r="O978" s="203"/>
      <c r="P978" s="244"/>
      <c r="Q978" s="203"/>
      <c r="R978" s="255"/>
      <c r="S978" s="226"/>
      <c r="T978" s="235"/>
      <c r="U978" s="390"/>
    </row>
    <row r="979" spans="1:21" ht="15.75" hidden="1" outlineLevel="3">
      <c r="A979" s="162"/>
      <c r="B979" s="152"/>
      <c r="C979" s="236" t="s">
        <v>494</v>
      </c>
      <c r="D979" s="344"/>
      <c r="E979" s="164"/>
      <c r="F979" s="165"/>
      <c r="G979" s="172"/>
      <c r="H979" s="164"/>
      <c r="I979" s="164"/>
      <c r="J979" s="164"/>
      <c r="K979" s="223"/>
      <c r="L979" s="234"/>
      <c r="M979" s="202"/>
      <c r="N979" s="250"/>
      <c r="O979" s="203"/>
      <c r="P979" s="244"/>
      <c r="Q979" s="203"/>
      <c r="R979" s="255"/>
      <c r="S979" s="226"/>
      <c r="T979" s="235"/>
      <c r="U979" s="483"/>
    </row>
    <row r="980" spans="1:21" ht="15.75" hidden="1" outlineLevel="3">
      <c r="A980" s="162"/>
      <c r="B980" s="152"/>
      <c r="C980" s="151" t="s">
        <v>507</v>
      </c>
      <c r="D980" s="339"/>
      <c r="E980" s="164"/>
      <c r="F980" s="165"/>
      <c r="G980" s="172"/>
      <c r="H980" s="164"/>
      <c r="I980" s="164"/>
      <c r="J980" s="164"/>
      <c r="K980" s="223"/>
      <c r="L980" s="234"/>
      <c r="M980" s="202"/>
      <c r="N980" s="250"/>
      <c r="O980" s="203"/>
      <c r="P980" s="244"/>
      <c r="Q980" s="203"/>
      <c r="R980" s="255"/>
      <c r="S980" s="226"/>
      <c r="T980" s="235"/>
      <c r="U980" s="390"/>
    </row>
    <row r="981" spans="1:21" ht="15.75" hidden="1" outlineLevel="3">
      <c r="A981" s="162"/>
      <c r="B981" s="152"/>
      <c r="C981" s="174" t="s">
        <v>496</v>
      </c>
      <c r="D981" s="340"/>
      <c r="E981" s="164"/>
      <c r="F981" s="165"/>
      <c r="G981" s="172"/>
      <c r="H981" s="164"/>
      <c r="I981" s="164"/>
      <c r="J981" s="164"/>
      <c r="K981" s="223"/>
      <c r="L981" s="234"/>
      <c r="M981" s="202"/>
      <c r="N981" s="250"/>
      <c r="O981" s="203"/>
      <c r="P981" s="244"/>
      <c r="Q981" s="203"/>
      <c r="R981" s="255"/>
      <c r="S981" s="226"/>
      <c r="T981" s="235"/>
      <c r="U981" s="390"/>
    </row>
    <row r="982" spans="1:21" ht="15.75" hidden="1" outlineLevel="3">
      <c r="A982" s="162"/>
      <c r="B982" s="152"/>
      <c r="C982" s="174" t="s">
        <v>497</v>
      </c>
      <c r="D982" s="340"/>
      <c r="E982" s="164"/>
      <c r="F982" s="165"/>
      <c r="G982" s="172"/>
      <c r="H982" s="164"/>
      <c r="I982" s="164"/>
      <c r="J982" s="164"/>
      <c r="K982" s="223"/>
      <c r="L982" s="234"/>
      <c r="M982" s="202"/>
      <c r="N982" s="250"/>
      <c r="O982" s="203"/>
      <c r="P982" s="244"/>
      <c r="Q982" s="203"/>
      <c r="R982" s="255"/>
      <c r="S982" s="226"/>
      <c r="T982" s="235"/>
      <c r="U982" s="390"/>
    </row>
    <row r="983" spans="1:21" ht="15.75" hidden="1" outlineLevel="3">
      <c r="A983" s="162"/>
      <c r="B983" s="152"/>
      <c r="C983" s="174" t="s">
        <v>499</v>
      </c>
      <c r="D983" s="340"/>
      <c r="E983" s="164"/>
      <c r="F983" s="165"/>
      <c r="G983" s="172"/>
      <c r="H983" s="164"/>
      <c r="I983" s="164"/>
      <c r="J983" s="164"/>
      <c r="K983" s="223"/>
      <c r="L983" s="234"/>
      <c r="M983" s="202"/>
      <c r="N983" s="250"/>
      <c r="O983" s="203"/>
      <c r="P983" s="244"/>
      <c r="Q983" s="203"/>
      <c r="R983" s="255"/>
      <c r="S983" s="226"/>
      <c r="T983" s="235"/>
      <c r="U983" s="390"/>
    </row>
    <row r="984" spans="1:21" ht="15.75" hidden="1" outlineLevel="3">
      <c r="A984" s="162"/>
      <c r="B984" s="152"/>
      <c r="C984" s="174" t="s">
        <v>526</v>
      </c>
      <c r="D984" s="340"/>
      <c r="E984" s="164"/>
      <c r="F984" s="165"/>
      <c r="G984" s="172"/>
      <c r="H984" s="219"/>
      <c r="I984" s="164"/>
      <c r="J984" s="164"/>
      <c r="K984" s="223"/>
      <c r="L984" s="234"/>
      <c r="M984" s="203"/>
      <c r="N984" s="250"/>
      <c r="O984" s="203"/>
      <c r="P984" s="244"/>
      <c r="Q984" s="203"/>
      <c r="R984" s="255"/>
      <c r="S984" s="226"/>
      <c r="T984" s="235"/>
      <c r="U984" s="483"/>
    </row>
    <row r="985" spans="1:21" s="233" customFormat="1" hidden="1" outlineLevel="2" collapsed="1">
      <c r="A985" s="232"/>
      <c r="B985" s="171"/>
      <c r="C985" s="151" t="s">
        <v>680</v>
      </c>
      <c r="D985" s="339"/>
      <c r="E985" s="157"/>
      <c r="F985" s="158"/>
      <c r="G985" s="197"/>
      <c r="H985" s="157"/>
      <c r="I985" s="157"/>
      <c r="J985" s="157"/>
      <c r="K985" s="215"/>
      <c r="L985" s="155"/>
      <c r="M985" s="156"/>
      <c r="N985" s="244"/>
      <c r="O985" s="157"/>
      <c r="P985" s="244"/>
      <c r="Q985" s="157"/>
      <c r="R985" s="255"/>
      <c r="S985" s="159"/>
      <c r="T985" s="225"/>
      <c r="U985" s="390" t="s">
        <v>681</v>
      </c>
    </row>
    <row r="986" spans="1:21" s="233" customFormat="1" hidden="1" outlineLevel="3">
      <c r="A986" s="232"/>
      <c r="B986" s="151" t="s">
        <v>688</v>
      </c>
      <c r="C986" s="171"/>
      <c r="D986" s="343"/>
      <c r="E986" s="157"/>
      <c r="F986" s="158"/>
      <c r="G986" s="197"/>
      <c r="H986" s="157"/>
      <c r="I986" s="157"/>
      <c r="J986" s="157"/>
      <c r="K986" s="215"/>
      <c r="L986" s="155"/>
      <c r="M986" s="156"/>
      <c r="N986" s="250"/>
      <c r="O986" s="157"/>
      <c r="P986" s="244"/>
      <c r="Q986" s="157"/>
      <c r="R986" s="255"/>
      <c r="S986" s="159"/>
      <c r="T986" s="225"/>
      <c r="U986" s="556"/>
    </row>
    <row r="987" spans="1:21" ht="15.75" hidden="1" outlineLevel="3">
      <c r="A987" s="162"/>
      <c r="B987" s="152"/>
      <c r="C987" s="151" t="s">
        <v>503</v>
      </c>
      <c r="D987" s="339"/>
      <c r="E987" s="164"/>
      <c r="F987" s="165"/>
      <c r="G987" s="172"/>
      <c r="H987" s="164"/>
      <c r="I987" s="164"/>
      <c r="J987" s="164"/>
      <c r="K987" s="223"/>
      <c r="L987" s="234"/>
      <c r="M987" s="202"/>
      <c r="N987" s="250"/>
      <c r="O987" s="203"/>
      <c r="P987" s="244"/>
      <c r="Q987" s="203"/>
      <c r="R987" s="255"/>
      <c r="S987" s="226"/>
      <c r="T987" s="235"/>
      <c r="U987" s="390"/>
    </row>
    <row r="988" spans="1:21" ht="15.75" hidden="1" outlineLevel="3">
      <c r="A988" s="162"/>
      <c r="B988" s="152"/>
      <c r="C988" s="236" t="s">
        <v>520</v>
      </c>
      <c r="D988" s="344"/>
      <c r="E988" s="164"/>
      <c r="F988" s="165"/>
      <c r="G988" s="172"/>
      <c r="H988" s="164"/>
      <c r="I988" s="164"/>
      <c r="J988" s="164"/>
      <c r="K988" s="223"/>
      <c r="L988" s="234"/>
      <c r="M988" s="202"/>
      <c r="N988" s="250"/>
      <c r="O988" s="203"/>
      <c r="P988" s="244"/>
      <c r="Q988" s="203"/>
      <c r="R988" s="255"/>
      <c r="S988" s="226"/>
      <c r="T988" s="235"/>
      <c r="U988" s="390"/>
    </row>
    <row r="989" spans="1:21" ht="15.75" hidden="1" outlineLevel="3">
      <c r="A989" s="162"/>
      <c r="B989" s="152"/>
      <c r="C989" s="236" t="s">
        <v>478</v>
      </c>
      <c r="D989" s="344"/>
      <c r="E989" s="164"/>
      <c r="F989" s="165"/>
      <c r="G989" s="172"/>
      <c r="H989" s="164"/>
      <c r="I989" s="164"/>
      <c r="J989" s="164"/>
      <c r="K989" s="223"/>
      <c r="L989" s="234"/>
      <c r="M989" s="202"/>
      <c r="N989" s="250"/>
      <c r="O989" s="203"/>
      <c r="P989" s="244"/>
      <c r="Q989" s="203"/>
      <c r="R989" s="255"/>
      <c r="S989" s="226"/>
      <c r="T989" s="235"/>
      <c r="U989" s="390"/>
    </row>
    <row r="990" spans="1:21" ht="15.75" hidden="1" outlineLevel="3">
      <c r="A990" s="162"/>
      <c r="B990" s="152"/>
      <c r="C990" s="236" t="s">
        <v>479</v>
      </c>
      <c r="D990" s="344"/>
      <c r="E990" s="164"/>
      <c r="F990" s="165"/>
      <c r="G990" s="172"/>
      <c r="H990" s="164"/>
      <c r="I990" s="164"/>
      <c r="J990" s="164"/>
      <c r="K990" s="223"/>
      <c r="L990" s="220"/>
      <c r="M990" s="204"/>
      <c r="N990" s="250"/>
      <c r="O990" s="203"/>
      <c r="P990" s="244"/>
      <c r="Q990" s="203"/>
      <c r="R990" s="255"/>
      <c r="S990" s="226"/>
      <c r="T990" s="235"/>
      <c r="U990" s="390"/>
    </row>
    <row r="991" spans="1:21" ht="15.75" hidden="1" outlineLevel="3">
      <c r="A991" s="162"/>
      <c r="B991" s="152"/>
      <c r="C991" s="236" t="s">
        <v>480</v>
      </c>
      <c r="D991" s="344"/>
      <c r="E991" s="164"/>
      <c r="F991" s="165"/>
      <c r="G991" s="172"/>
      <c r="H991" s="164"/>
      <c r="I991" s="164"/>
      <c r="J991" s="164"/>
      <c r="K991" s="223"/>
      <c r="L991" s="234"/>
      <c r="M991" s="202"/>
      <c r="N991" s="250"/>
      <c r="O991" s="203"/>
      <c r="P991" s="244"/>
      <c r="Q991" s="203"/>
      <c r="R991" s="255"/>
      <c r="S991" s="226"/>
      <c r="T991" s="235"/>
      <c r="U991" s="390"/>
    </row>
    <row r="992" spans="1:21" ht="15.75" hidden="1" outlineLevel="3">
      <c r="A992" s="162"/>
      <c r="B992" s="152"/>
      <c r="C992" s="236" t="s">
        <v>512</v>
      </c>
      <c r="D992" s="344"/>
      <c r="E992" s="164"/>
      <c r="F992" s="165"/>
      <c r="G992" s="172"/>
      <c r="H992" s="164"/>
      <c r="I992" s="164"/>
      <c r="J992" s="164"/>
      <c r="K992" s="223"/>
      <c r="L992" s="234"/>
      <c r="M992" s="202"/>
      <c r="N992" s="250"/>
      <c r="O992" s="203"/>
      <c r="P992" s="244"/>
      <c r="Q992" s="203"/>
      <c r="R992" s="255"/>
      <c r="S992" s="226"/>
      <c r="T992" s="235"/>
      <c r="U992" s="390"/>
    </row>
    <row r="993" spans="1:21" ht="15.75" hidden="1" outlineLevel="3">
      <c r="A993" s="162"/>
      <c r="B993" s="152"/>
      <c r="C993" s="151" t="s">
        <v>504</v>
      </c>
      <c r="D993" s="339"/>
      <c r="E993" s="164"/>
      <c r="F993" s="165"/>
      <c r="G993" s="172"/>
      <c r="H993" s="164"/>
      <c r="I993" s="164"/>
      <c r="J993" s="164"/>
      <c r="K993" s="223"/>
      <c r="L993" s="234"/>
      <c r="M993" s="202"/>
      <c r="N993" s="250"/>
      <c r="O993" s="203"/>
      <c r="P993" s="244"/>
      <c r="Q993" s="203"/>
      <c r="R993" s="255"/>
      <c r="S993" s="226"/>
      <c r="T993" s="235"/>
      <c r="U993" s="390"/>
    </row>
    <row r="994" spans="1:21" ht="15.75" hidden="1" outlineLevel="3">
      <c r="A994" s="162"/>
      <c r="B994" s="152"/>
      <c r="C994" s="236" t="s">
        <v>483</v>
      </c>
      <c r="D994" s="344"/>
      <c r="E994" s="164"/>
      <c r="F994" s="165"/>
      <c r="G994" s="172"/>
      <c r="H994" s="164"/>
      <c r="I994" s="164"/>
      <c r="J994" s="164"/>
      <c r="K994" s="223"/>
      <c r="L994" s="234"/>
      <c r="M994" s="202"/>
      <c r="N994" s="250"/>
      <c r="O994" s="203"/>
      <c r="P994" s="244"/>
      <c r="Q994" s="203"/>
      <c r="R994" s="255"/>
      <c r="S994" s="226"/>
      <c r="T994" s="235"/>
      <c r="U994" s="390"/>
    </row>
    <row r="995" spans="1:21" ht="15.75" hidden="1" outlineLevel="3">
      <c r="A995" s="162"/>
      <c r="B995" s="152"/>
      <c r="C995" s="236" t="s">
        <v>484</v>
      </c>
      <c r="D995" s="344"/>
      <c r="E995" s="164"/>
      <c r="F995" s="165"/>
      <c r="G995" s="172"/>
      <c r="H995" s="164"/>
      <c r="I995" s="164"/>
      <c r="J995" s="164"/>
      <c r="K995" s="223"/>
      <c r="L995" s="234"/>
      <c r="M995" s="202"/>
      <c r="N995" s="250"/>
      <c r="O995" s="203"/>
      <c r="P995" s="244"/>
      <c r="Q995" s="203"/>
      <c r="R995" s="255"/>
      <c r="S995" s="226"/>
      <c r="T995" s="235"/>
      <c r="U995" s="390"/>
    </row>
    <row r="996" spans="1:21" ht="15.75" hidden="1" outlineLevel="3">
      <c r="A996" s="162"/>
      <c r="B996" s="152"/>
      <c r="C996" s="236" t="s">
        <v>479</v>
      </c>
      <c r="D996" s="344"/>
      <c r="E996" s="164"/>
      <c r="F996" s="165"/>
      <c r="G996" s="172"/>
      <c r="H996" s="164"/>
      <c r="I996" s="164"/>
      <c r="J996" s="164"/>
      <c r="K996" s="223"/>
      <c r="L996" s="234"/>
      <c r="M996" s="202"/>
      <c r="N996" s="250"/>
      <c r="O996" s="203"/>
      <c r="P996" s="244"/>
      <c r="Q996" s="203"/>
      <c r="R996" s="255"/>
      <c r="S996" s="226"/>
      <c r="T996" s="235"/>
      <c r="U996" s="390"/>
    </row>
    <row r="997" spans="1:21" ht="15.75" hidden="1" outlineLevel="3">
      <c r="A997" s="162"/>
      <c r="B997" s="152"/>
      <c r="C997" s="236" t="s">
        <v>485</v>
      </c>
      <c r="D997" s="344"/>
      <c r="E997" s="164"/>
      <c r="F997" s="165"/>
      <c r="G997" s="172"/>
      <c r="H997" s="164"/>
      <c r="I997" s="164"/>
      <c r="J997" s="164"/>
      <c r="K997" s="223"/>
      <c r="L997" s="234"/>
      <c r="M997" s="202"/>
      <c r="N997" s="250"/>
      <c r="O997" s="203"/>
      <c r="P997" s="244"/>
      <c r="Q997" s="203"/>
      <c r="R997" s="255"/>
      <c r="S997" s="226"/>
      <c r="T997" s="235"/>
      <c r="U997" s="390"/>
    </row>
    <row r="998" spans="1:21" ht="15.75" hidden="1" outlineLevel="3">
      <c r="A998" s="162"/>
      <c r="B998" s="152"/>
      <c r="C998" s="151" t="s">
        <v>505</v>
      </c>
      <c r="D998" s="339"/>
      <c r="E998" s="164"/>
      <c r="F998" s="165"/>
      <c r="G998" s="172"/>
      <c r="H998" s="164"/>
      <c r="I998" s="164"/>
      <c r="J998" s="164"/>
      <c r="K998" s="223"/>
      <c r="L998" s="234"/>
      <c r="M998" s="202"/>
      <c r="N998" s="250"/>
      <c r="O998" s="203"/>
      <c r="P998" s="244"/>
      <c r="Q998" s="203"/>
      <c r="R998" s="255"/>
      <c r="S998" s="226"/>
      <c r="T998" s="235"/>
      <c r="U998" s="390"/>
    </row>
    <row r="999" spans="1:21" ht="15.75" hidden="1" outlineLevel="3">
      <c r="A999" s="162"/>
      <c r="B999" s="152"/>
      <c r="C999" s="236" t="s">
        <v>487</v>
      </c>
      <c r="D999" s="344"/>
      <c r="E999" s="164"/>
      <c r="F999" s="165"/>
      <c r="G999" s="172"/>
      <c r="H999" s="164"/>
      <c r="I999" s="164"/>
      <c r="J999" s="164"/>
      <c r="K999" s="223"/>
      <c r="L999" s="234"/>
      <c r="M999" s="202"/>
      <c r="N999" s="250"/>
      <c r="O999" s="203"/>
      <c r="P999" s="244"/>
      <c r="Q999" s="203"/>
      <c r="R999" s="255"/>
      <c r="S999" s="226"/>
      <c r="T999" s="235"/>
      <c r="U999" s="390"/>
    </row>
    <row r="1000" spans="1:21" ht="15.75" hidden="1" outlineLevel="3">
      <c r="A1000" s="162"/>
      <c r="B1000" s="152"/>
      <c r="C1000" s="236" t="s">
        <v>479</v>
      </c>
      <c r="D1000" s="344"/>
      <c r="E1000" s="164"/>
      <c r="F1000" s="165"/>
      <c r="G1000" s="172"/>
      <c r="H1000" s="164"/>
      <c r="I1000" s="164"/>
      <c r="J1000" s="164"/>
      <c r="K1000" s="223"/>
      <c r="L1000" s="234"/>
      <c r="M1000" s="202"/>
      <c r="N1000" s="250"/>
      <c r="O1000" s="203"/>
      <c r="P1000" s="244"/>
      <c r="Q1000" s="203"/>
      <c r="R1000" s="255"/>
      <c r="S1000" s="226"/>
      <c r="T1000" s="235"/>
      <c r="U1000" s="390"/>
    </row>
    <row r="1001" spans="1:21" ht="15.75" hidden="1" outlineLevel="3">
      <c r="A1001" s="162"/>
      <c r="B1001" s="152"/>
      <c r="C1001" s="236" t="s">
        <v>488</v>
      </c>
      <c r="D1001" s="344"/>
      <c r="E1001" s="164"/>
      <c r="F1001" s="165"/>
      <c r="G1001" s="172"/>
      <c r="H1001" s="164"/>
      <c r="I1001" s="164"/>
      <c r="J1001" s="164"/>
      <c r="K1001" s="223"/>
      <c r="L1001" s="234"/>
      <c r="M1001" s="202"/>
      <c r="N1001" s="250"/>
      <c r="O1001" s="203"/>
      <c r="P1001" s="244"/>
      <c r="Q1001" s="203"/>
      <c r="R1001" s="255"/>
      <c r="S1001" s="226"/>
      <c r="T1001" s="235"/>
      <c r="U1001" s="390"/>
    </row>
    <row r="1002" spans="1:21" ht="15.75" hidden="1" outlineLevel="3">
      <c r="A1002" s="162"/>
      <c r="B1002" s="152"/>
      <c r="C1002" s="236" t="s">
        <v>489</v>
      </c>
      <c r="D1002" s="344"/>
      <c r="E1002" s="164"/>
      <c r="F1002" s="165"/>
      <c r="G1002" s="172"/>
      <c r="H1002" s="164"/>
      <c r="I1002" s="164"/>
      <c r="J1002" s="164"/>
      <c r="K1002" s="223"/>
      <c r="L1002" s="234"/>
      <c r="M1002" s="202"/>
      <c r="N1002" s="250"/>
      <c r="O1002" s="203"/>
      <c r="P1002" s="244"/>
      <c r="Q1002" s="203"/>
      <c r="R1002" s="255"/>
      <c r="S1002" s="226"/>
      <c r="T1002" s="235"/>
      <c r="U1002" s="390"/>
    </row>
    <row r="1003" spans="1:21" ht="15.75" hidden="1" outlineLevel="3">
      <c r="A1003" s="162"/>
      <c r="B1003" s="152"/>
      <c r="C1003" s="151" t="s">
        <v>506</v>
      </c>
      <c r="D1003" s="339"/>
      <c r="E1003" s="164"/>
      <c r="F1003" s="165"/>
      <c r="G1003" s="172"/>
      <c r="H1003" s="164"/>
      <c r="I1003" s="164"/>
      <c r="J1003" s="164"/>
      <c r="K1003" s="223"/>
      <c r="L1003" s="234"/>
      <c r="M1003" s="202"/>
      <c r="N1003" s="250"/>
      <c r="O1003" s="203"/>
      <c r="P1003" s="244"/>
      <c r="Q1003" s="203"/>
      <c r="R1003" s="255"/>
      <c r="S1003" s="226"/>
      <c r="T1003" s="235"/>
      <c r="U1003" s="390"/>
    </row>
    <row r="1004" spans="1:21" ht="15.75" hidden="1" outlineLevel="3">
      <c r="A1004" s="162"/>
      <c r="B1004" s="152"/>
      <c r="C1004" s="236" t="s">
        <v>491</v>
      </c>
      <c r="D1004" s="344"/>
      <c r="E1004" s="164"/>
      <c r="F1004" s="165"/>
      <c r="G1004" s="172"/>
      <c r="H1004" s="164"/>
      <c r="I1004" s="164"/>
      <c r="J1004" s="164"/>
      <c r="K1004" s="223"/>
      <c r="L1004" s="234"/>
      <c r="M1004" s="202"/>
      <c r="N1004" s="250"/>
      <c r="O1004" s="203"/>
      <c r="P1004" s="244"/>
      <c r="Q1004" s="203"/>
      <c r="R1004" s="255"/>
      <c r="S1004" s="226"/>
      <c r="T1004" s="235"/>
      <c r="U1004" s="390"/>
    </row>
    <row r="1005" spans="1:21" ht="15.75" hidden="1" outlineLevel="3">
      <c r="A1005" s="162"/>
      <c r="B1005" s="152"/>
      <c r="C1005" s="236" t="s">
        <v>492</v>
      </c>
      <c r="D1005" s="344"/>
      <c r="E1005" s="211"/>
      <c r="F1005" s="211"/>
      <c r="G1005" s="172"/>
      <c r="H1005" s="164"/>
      <c r="I1005" s="164"/>
      <c r="J1005" s="164"/>
      <c r="K1005" s="218"/>
      <c r="L1005" s="234"/>
      <c r="M1005" s="206"/>
      <c r="N1005" s="250"/>
      <c r="O1005" s="203"/>
      <c r="P1005" s="244"/>
      <c r="Q1005" s="203"/>
      <c r="R1005" s="255"/>
      <c r="S1005" s="226"/>
      <c r="T1005" s="235"/>
      <c r="U1005" s="390"/>
    </row>
    <row r="1006" spans="1:21" ht="15.75" hidden="1" outlineLevel="3">
      <c r="A1006" s="162"/>
      <c r="B1006" s="152"/>
      <c r="C1006" s="236" t="s">
        <v>493</v>
      </c>
      <c r="D1006" s="344"/>
      <c r="E1006" s="164"/>
      <c r="F1006" s="165"/>
      <c r="G1006" s="172"/>
      <c r="H1006" s="164"/>
      <c r="I1006" s="164"/>
      <c r="J1006" s="164"/>
      <c r="K1006" s="223"/>
      <c r="L1006" s="234"/>
      <c r="M1006" s="202"/>
      <c r="N1006" s="250"/>
      <c r="O1006" s="203"/>
      <c r="P1006" s="244"/>
      <c r="Q1006" s="203"/>
      <c r="R1006" s="255"/>
      <c r="S1006" s="226"/>
      <c r="T1006" s="235"/>
      <c r="U1006" s="390"/>
    </row>
    <row r="1007" spans="1:21" ht="15.75" hidden="1" outlineLevel="3">
      <c r="A1007" s="162"/>
      <c r="B1007" s="152"/>
      <c r="C1007" s="236" t="s">
        <v>494</v>
      </c>
      <c r="D1007" s="344"/>
      <c r="E1007" s="164"/>
      <c r="F1007" s="165"/>
      <c r="G1007" s="172"/>
      <c r="H1007" s="164"/>
      <c r="I1007" s="164"/>
      <c r="J1007" s="164"/>
      <c r="K1007" s="223"/>
      <c r="L1007" s="234"/>
      <c r="M1007" s="202"/>
      <c r="N1007" s="250"/>
      <c r="O1007" s="203"/>
      <c r="P1007" s="244"/>
      <c r="Q1007" s="203"/>
      <c r="R1007" s="255"/>
      <c r="S1007" s="226"/>
      <c r="T1007" s="235"/>
      <c r="U1007" s="483"/>
    </row>
    <row r="1008" spans="1:21" ht="15.75" hidden="1" outlineLevel="3">
      <c r="A1008" s="162"/>
      <c r="B1008" s="152"/>
      <c r="C1008" s="151" t="s">
        <v>507</v>
      </c>
      <c r="D1008" s="339"/>
      <c r="E1008" s="164"/>
      <c r="F1008" s="165"/>
      <c r="G1008" s="172"/>
      <c r="H1008" s="164"/>
      <c r="I1008" s="164"/>
      <c r="J1008" s="164"/>
      <c r="K1008" s="223"/>
      <c r="L1008" s="234"/>
      <c r="M1008" s="202"/>
      <c r="N1008" s="250"/>
      <c r="O1008" s="203"/>
      <c r="P1008" s="244"/>
      <c r="Q1008" s="203"/>
      <c r="R1008" s="255"/>
      <c r="S1008" s="226"/>
      <c r="T1008" s="235"/>
      <c r="U1008" s="390"/>
    </row>
    <row r="1009" spans="1:21" ht="15.75" hidden="1" outlineLevel="3">
      <c r="A1009" s="162"/>
      <c r="B1009" s="152"/>
      <c r="C1009" s="174" t="s">
        <v>496</v>
      </c>
      <c r="D1009" s="340"/>
      <c r="E1009" s="164"/>
      <c r="F1009" s="165"/>
      <c r="G1009" s="172"/>
      <c r="H1009" s="164"/>
      <c r="I1009" s="164"/>
      <c r="J1009" s="164"/>
      <c r="K1009" s="223"/>
      <c r="L1009" s="234"/>
      <c r="M1009" s="202"/>
      <c r="N1009" s="250"/>
      <c r="O1009" s="203"/>
      <c r="P1009" s="244"/>
      <c r="Q1009" s="203"/>
      <c r="R1009" s="255"/>
      <c r="S1009" s="226"/>
      <c r="T1009" s="235"/>
      <c r="U1009" s="390"/>
    </row>
    <row r="1010" spans="1:21" ht="15.75" hidden="1" outlineLevel="3">
      <c r="A1010" s="162"/>
      <c r="B1010" s="152"/>
      <c r="C1010" s="174" t="s">
        <v>497</v>
      </c>
      <c r="D1010" s="340"/>
      <c r="E1010" s="164"/>
      <c r="F1010" s="165"/>
      <c r="G1010" s="172"/>
      <c r="H1010" s="164"/>
      <c r="I1010" s="164"/>
      <c r="J1010" s="164"/>
      <c r="K1010" s="223"/>
      <c r="L1010" s="234"/>
      <c r="M1010" s="202"/>
      <c r="N1010" s="250"/>
      <c r="O1010" s="203"/>
      <c r="P1010" s="244"/>
      <c r="Q1010" s="203"/>
      <c r="R1010" s="255"/>
      <c r="S1010" s="226"/>
      <c r="T1010" s="235"/>
      <c r="U1010" s="390"/>
    </row>
    <row r="1011" spans="1:21" ht="15.75" hidden="1" outlineLevel="3">
      <c r="A1011" s="162"/>
      <c r="B1011" s="152"/>
      <c r="C1011" s="174" t="s">
        <v>499</v>
      </c>
      <c r="D1011" s="340"/>
      <c r="E1011" s="164"/>
      <c r="F1011" s="165"/>
      <c r="G1011" s="172"/>
      <c r="H1011" s="164"/>
      <c r="I1011" s="164"/>
      <c r="J1011" s="164"/>
      <c r="K1011" s="223"/>
      <c r="L1011" s="234"/>
      <c r="M1011" s="202"/>
      <c r="N1011" s="250"/>
      <c r="O1011" s="203"/>
      <c r="P1011" s="244"/>
      <c r="Q1011" s="203"/>
      <c r="R1011" s="255"/>
      <c r="S1011" s="226"/>
      <c r="T1011" s="235"/>
      <c r="U1011" s="390"/>
    </row>
    <row r="1012" spans="1:21" ht="15.75" hidden="1" outlineLevel="3">
      <c r="A1012" s="162"/>
      <c r="B1012" s="152"/>
      <c r="C1012" s="174" t="s">
        <v>526</v>
      </c>
      <c r="D1012" s="340"/>
      <c r="E1012" s="164"/>
      <c r="F1012" s="165"/>
      <c r="G1012" s="172"/>
      <c r="H1012" s="219"/>
      <c r="I1012" s="164"/>
      <c r="J1012" s="164"/>
      <c r="K1012" s="223"/>
      <c r="L1012" s="234"/>
      <c r="M1012" s="203"/>
      <c r="N1012" s="250"/>
      <c r="O1012" s="203"/>
      <c r="P1012" s="244"/>
      <c r="Q1012" s="203"/>
      <c r="R1012" s="255"/>
      <c r="S1012" s="226"/>
      <c r="T1012" s="235"/>
      <c r="U1012" s="483"/>
    </row>
    <row r="1013" spans="1:21" s="233" customFormat="1" hidden="1" outlineLevel="2" collapsed="1">
      <c r="A1013" s="232"/>
      <c r="B1013" s="171"/>
      <c r="C1013" s="151" t="s">
        <v>688</v>
      </c>
      <c r="D1013" s="339"/>
      <c r="E1013" s="157"/>
      <c r="F1013" s="158"/>
      <c r="G1013" s="197"/>
      <c r="H1013" s="157"/>
      <c r="I1013" s="157"/>
      <c r="J1013" s="157"/>
      <c r="K1013" s="215"/>
      <c r="L1013" s="155"/>
      <c r="M1013" s="156"/>
      <c r="N1013" s="244"/>
      <c r="O1013" s="157"/>
      <c r="P1013" s="244"/>
      <c r="Q1013" s="157"/>
      <c r="R1013" s="255"/>
      <c r="S1013" s="159"/>
      <c r="T1013" s="225"/>
      <c r="U1013" s="390" t="s">
        <v>1156</v>
      </c>
    </row>
    <row r="1014" spans="1:21" s="233" customFormat="1" hidden="1" outlineLevel="3">
      <c r="A1014" s="232"/>
      <c r="B1014" s="151" t="s">
        <v>702</v>
      </c>
      <c r="C1014" s="171"/>
      <c r="D1014" s="343"/>
      <c r="E1014" s="157"/>
      <c r="F1014" s="158"/>
      <c r="G1014" s="197"/>
      <c r="H1014" s="157"/>
      <c r="I1014" s="157"/>
      <c r="J1014" s="157"/>
      <c r="K1014" s="215"/>
      <c r="L1014" s="155"/>
      <c r="M1014" s="156"/>
      <c r="N1014" s="250"/>
      <c r="O1014" s="157"/>
      <c r="P1014" s="244"/>
      <c r="Q1014" s="157"/>
      <c r="R1014" s="255"/>
      <c r="S1014" s="159"/>
      <c r="T1014" s="225"/>
      <c r="U1014" s="390"/>
    </row>
    <row r="1015" spans="1:21" ht="15.75" hidden="1" outlineLevel="3">
      <c r="A1015" s="162"/>
      <c r="B1015" s="152"/>
      <c r="C1015" s="151" t="s">
        <v>503</v>
      </c>
      <c r="D1015" s="339"/>
      <c r="E1015" s="164"/>
      <c r="F1015" s="165"/>
      <c r="G1015" s="172"/>
      <c r="H1015" s="164"/>
      <c r="I1015" s="164"/>
      <c r="J1015" s="164"/>
      <c r="K1015" s="223"/>
      <c r="L1015" s="234"/>
      <c r="M1015" s="202"/>
      <c r="N1015" s="250"/>
      <c r="O1015" s="203"/>
      <c r="P1015" s="244"/>
      <c r="Q1015" s="203"/>
      <c r="R1015" s="255"/>
      <c r="S1015" s="226"/>
      <c r="T1015" s="235"/>
      <c r="U1015" s="390"/>
    </row>
    <row r="1016" spans="1:21" ht="15.75" hidden="1" outlineLevel="3">
      <c r="A1016" s="162"/>
      <c r="B1016" s="152"/>
      <c r="C1016" s="236" t="s">
        <v>520</v>
      </c>
      <c r="D1016" s="344"/>
      <c r="E1016" s="164"/>
      <c r="F1016" s="165"/>
      <c r="G1016" s="172"/>
      <c r="H1016" s="164"/>
      <c r="I1016" s="164"/>
      <c r="J1016" s="164"/>
      <c r="K1016" s="223"/>
      <c r="L1016" s="234"/>
      <c r="M1016" s="202"/>
      <c r="N1016" s="250"/>
      <c r="O1016" s="203"/>
      <c r="P1016" s="244"/>
      <c r="Q1016" s="203"/>
      <c r="R1016" s="255"/>
      <c r="S1016" s="226"/>
      <c r="T1016" s="235"/>
      <c r="U1016" s="390"/>
    </row>
    <row r="1017" spans="1:21" ht="15.75" hidden="1" outlineLevel="3">
      <c r="A1017" s="162"/>
      <c r="B1017" s="152"/>
      <c r="C1017" s="236" t="s">
        <v>478</v>
      </c>
      <c r="D1017" s="344"/>
      <c r="E1017" s="164"/>
      <c r="F1017" s="165"/>
      <c r="G1017" s="172"/>
      <c r="H1017" s="164"/>
      <c r="I1017" s="164"/>
      <c r="J1017" s="164"/>
      <c r="K1017" s="223"/>
      <c r="L1017" s="234"/>
      <c r="M1017" s="202"/>
      <c r="N1017" s="250"/>
      <c r="O1017" s="203"/>
      <c r="P1017" s="244"/>
      <c r="Q1017" s="203"/>
      <c r="R1017" s="255"/>
      <c r="S1017" s="226"/>
      <c r="T1017" s="235"/>
      <c r="U1017" s="390"/>
    </row>
    <row r="1018" spans="1:21" ht="15.75" hidden="1" outlineLevel="3">
      <c r="A1018" s="162"/>
      <c r="B1018" s="152"/>
      <c r="C1018" s="236" t="s">
        <v>479</v>
      </c>
      <c r="D1018" s="344"/>
      <c r="E1018" s="164"/>
      <c r="F1018" s="165"/>
      <c r="G1018" s="172"/>
      <c r="H1018" s="164"/>
      <c r="I1018" s="164"/>
      <c r="J1018" s="164"/>
      <c r="K1018" s="223"/>
      <c r="L1018" s="220"/>
      <c r="M1018" s="204"/>
      <c r="N1018" s="250"/>
      <c r="O1018" s="203"/>
      <c r="P1018" s="244"/>
      <c r="Q1018" s="203"/>
      <c r="R1018" s="255"/>
      <c r="S1018" s="226"/>
      <c r="T1018" s="235"/>
      <c r="U1018" s="390"/>
    </row>
    <row r="1019" spans="1:21" ht="15.75" hidden="1" outlineLevel="3">
      <c r="A1019" s="162"/>
      <c r="B1019" s="152"/>
      <c r="C1019" s="236" t="s">
        <v>480</v>
      </c>
      <c r="D1019" s="344"/>
      <c r="E1019" s="164"/>
      <c r="F1019" s="165"/>
      <c r="G1019" s="172"/>
      <c r="H1019" s="164"/>
      <c r="I1019" s="164"/>
      <c r="J1019" s="164"/>
      <c r="K1019" s="223"/>
      <c r="L1019" s="234"/>
      <c r="M1019" s="202"/>
      <c r="N1019" s="250"/>
      <c r="O1019" s="203"/>
      <c r="P1019" s="244"/>
      <c r="Q1019" s="203"/>
      <c r="R1019" s="255"/>
      <c r="S1019" s="226"/>
      <c r="T1019" s="235"/>
      <c r="U1019" s="390"/>
    </row>
    <row r="1020" spans="1:21" ht="15.75" hidden="1" outlineLevel="3">
      <c r="A1020" s="162"/>
      <c r="B1020" s="152"/>
      <c r="C1020" s="236" t="s">
        <v>512</v>
      </c>
      <c r="D1020" s="344"/>
      <c r="E1020" s="164"/>
      <c r="F1020" s="165"/>
      <c r="G1020" s="172"/>
      <c r="H1020" s="164"/>
      <c r="I1020" s="164"/>
      <c r="J1020" s="164"/>
      <c r="K1020" s="223"/>
      <c r="L1020" s="234"/>
      <c r="M1020" s="202"/>
      <c r="N1020" s="250"/>
      <c r="O1020" s="203"/>
      <c r="P1020" s="244"/>
      <c r="Q1020" s="203"/>
      <c r="R1020" s="255"/>
      <c r="S1020" s="226"/>
      <c r="T1020" s="235"/>
      <c r="U1020" s="390"/>
    </row>
    <row r="1021" spans="1:21" ht="15.75" hidden="1" outlineLevel="3">
      <c r="A1021" s="162"/>
      <c r="B1021" s="152"/>
      <c r="C1021" s="151" t="s">
        <v>504</v>
      </c>
      <c r="D1021" s="339"/>
      <c r="E1021" s="164"/>
      <c r="F1021" s="165"/>
      <c r="G1021" s="172"/>
      <c r="H1021" s="164"/>
      <c r="I1021" s="164"/>
      <c r="J1021" s="164"/>
      <c r="K1021" s="223"/>
      <c r="L1021" s="234"/>
      <c r="M1021" s="202"/>
      <c r="N1021" s="250"/>
      <c r="O1021" s="203"/>
      <c r="P1021" s="244"/>
      <c r="Q1021" s="203"/>
      <c r="R1021" s="255"/>
      <c r="S1021" s="226"/>
      <c r="T1021" s="235"/>
      <c r="U1021" s="390"/>
    </row>
    <row r="1022" spans="1:21" ht="15.75" hidden="1" outlineLevel="3">
      <c r="A1022" s="162"/>
      <c r="B1022" s="152"/>
      <c r="C1022" s="236" t="s">
        <v>483</v>
      </c>
      <c r="D1022" s="344"/>
      <c r="E1022" s="164"/>
      <c r="F1022" s="165"/>
      <c r="G1022" s="172"/>
      <c r="H1022" s="164"/>
      <c r="I1022" s="164"/>
      <c r="J1022" s="164"/>
      <c r="K1022" s="223"/>
      <c r="L1022" s="234"/>
      <c r="M1022" s="202"/>
      <c r="N1022" s="250"/>
      <c r="O1022" s="203"/>
      <c r="P1022" s="244"/>
      <c r="Q1022" s="203"/>
      <c r="R1022" s="255"/>
      <c r="S1022" s="226"/>
      <c r="T1022" s="235"/>
      <c r="U1022" s="390"/>
    </row>
    <row r="1023" spans="1:21" ht="15.75" hidden="1" outlineLevel="3">
      <c r="A1023" s="162"/>
      <c r="B1023" s="152"/>
      <c r="C1023" s="236" t="s">
        <v>484</v>
      </c>
      <c r="D1023" s="344"/>
      <c r="E1023" s="164"/>
      <c r="F1023" s="165"/>
      <c r="G1023" s="172"/>
      <c r="H1023" s="164"/>
      <c r="I1023" s="164"/>
      <c r="J1023" s="164"/>
      <c r="K1023" s="223"/>
      <c r="L1023" s="234"/>
      <c r="M1023" s="202"/>
      <c r="N1023" s="250"/>
      <c r="O1023" s="203"/>
      <c r="P1023" s="244"/>
      <c r="Q1023" s="203"/>
      <c r="R1023" s="255"/>
      <c r="S1023" s="226"/>
      <c r="T1023" s="235"/>
      <c r="U1023" s="390"/>
    </row>
    <row r="1024" spans="1:21" ht="15.75" hidden="1" outlineLevel="3">
      <c r="A1024" s="162"/>
      <c r="B1024" s="152"/>
      <c r="C1024" s="236" t="s">
        <v>479</v>
      </c>
      <c r="D1024" s="344"/>
      <c r="E1024" s="164"/>
      <c r="F1024" s="165"/>
      <c r="G1024" s="172"/>
      <c r="H1024" s="164"/>
      <c r="I1024" s="164"/>
      <c r="J1024" s="164"/>
      <c r="K1024" s="223"/>
      <c r="L1024" s="234"/>
      <c r="M1024" s="202"/>
      <c r="N1024" s="250"/>
      <c r="O1024" s="203"/>
      <c r="P1024" s="244"/>
      <c r="Q1024" s="203"/>
      <c r="R1024" s="255"/>
      <c r="S1024" s="226"/>
      <c r="T1024" s="235"/>
      <c r="U1024" s="390"/>
    </row>
    <row r="1025" spans="1:21" ht="15.75" hidden="1" outlineLevel="3">
      <c r="A1025" s="162"/>
      <c r="B1025" s="152"/>
      <c r="C1025" s="236" t="s">
        <v>485</v>
      </c>
      <c r="D1025" s="344"/>
      <c r="E1025" s="164"/>
      <c r="F1025" s="165"/>
      <c r="G1025" s="172"/>
      <c r="H1025" s="164"/>
      <c r="I1025" s="164"/>
      <c r="J1025" s="164"/>
      <c r="K1025" s="223"/>
      <c r="L1025" s="234"/>
      <c r="M1025" s="202"/>
      <c r="N1025" s="250"/>
      <c r="O1025" s="203"/>
      <c r="P1025" s="244"/>
      <c r="Q1025" s="203"/>
      <c r="R1025" s="255"/>
      <c r="S1025" s="226"/>
      <c r="T1025" s="235"/>
      <c r="U1025" s="390"/>
    </row>
    <row r="1026" spans="1:21" ht="15.75" hidden="1" outlineLevel="3">
      <c r="A1026" s="162"/>
      <c r="B1026" s="152"/>
      <c r="C1026" s="151" t="s">
        <v>505</v>
      </c>
      <c r="D1026" s="339"/>
      <c r="E1026" s="164"/>
      <c r="F1026" s="165"/>
      <c r="G1026" s="172"/>
      <c r="H1026" s="164"/>
      <c r="I1026" s="164"/>
      <c r="J1026" s="164"/>
      <c r="K1026" s="223"/>
      <c r="L1026" s="234"/>
      <c r="M1026" s="202"/>
      <c r="N1026" s="250"/>
      <c r="O1026" s="203"/>
      <c r="P1026" s="244"/>
      <c r="Q1026" s="203"/>
      <c r="R1026" s="255"/>
      <c r="S1026" s="226"/>
      <c r="T1026" s="235"/>
      <c r="U1026" s="390"/>
    </row>
    <row r="1027" spans="1:21" ht="15.75" hidden="1" outlineLevel="3">
      <c r="A1027" s="162"/>
      <c r="B1027" s="152"/>
      <c r="C1027" s="236" t="s">
        <v>487</v>
      </c>
      <c r="D1027" s="344"/>
      <c r="E1027" s="164"/>
      <c r="F1027" s="165"/>
      <c r="G1027" s="172"/>
      <c r="H1027" s="164"/>
      <c r="I1027" s="164"/>
      <c r="J1027" s="164"/>
      <c r="K1027" s="223"/>
      <c r="L1027" s="234"/>
      <c r="M1027" s="202"/>
      <c r="N1027" s="250"/>
      <c r="O1027" s="203"/>
      <c r="P1027" s="244"/>
      <c r="Q1027" s="203"/>
      <c r="R1027" s="255"/>
      <c r="S1027" s="226"/>
      <c r="T1027" s="235"/>
      <c r="U1027" s="390"/>
    </row>
    <row r="1028" spans="1:21" ht="15.75" hidden="1" outlineLevel="3">
      <c r="A1028" s="162"/>
      <c r="B1028" s="152"/>
      <c r="C1028" s="236" t="s">
        <v>479</v>
      </c>
      <c r="D1028" s="344"/>
      <c r="E1028" s="164"/>
      <c r="F1028" s="165"/>
      <c r="G1028" s="172"/>
      <c r="H1028" s="164"/>
      <c r="I1028" s="164"/>
      <c r="J1028" s="164"/>
      <c r="K1028" s="223"/>
      <c r="L1028" s="234"/>
      <c r="M1028" s="202"/>
      <c r="N1028" s="250"/>
      <c r="O1028" s="203"/>
      <c r="P1028" s="244"/>
      <c r="Q1028" s="203"/>
      <c r="R1028" s="255"/>
      <c r="S1028" s="226"/>
      <c r="T1028" s="235"/>
      <c r="U1028" s="390"/>
    </row>
    <row r="1029" spans="1:21" ht="15.75" hidden="1" outlineLevel="3">
      <c r="A1029" s="162"/>
      <c r="B1029" s="152"/>
      <c r="C1029" s="236" t="s">
        <v>488</v>
      </c>
      <c r="D1029" s="344"/>
      <c r="E1029" s="164"/>
      <c r="F1029" s="165"/>
      <c r="G1029" s="172"/>
      <c r="H1029" s="164"/>
      <c r="I1029" s="164"/>
      <c r="J1029" s="164"/>
      <c r="K1029" s="223"/>
      <c r="L1029" s="234"/>
      <c r="M1029" s="202"/>
      <c r="N1029" s="250"/>
      <c r="O1029" s="203"/>
      <c r="P1029" s="244"/>
      <c r="Q1029" s="203"/>
      <c r="R1029" s="255"/>
      <c r="S1029" s="226"/>
      <c r="T1029" s="235"/>
      <c r="U1029" s="390"/>
    </row>
    <row r="1030" spans="1:21" ht="15.75" hidden="1" outlineLevel="3">
      <c r="A1030" s="162"/>
      <c r="B1030" s="152"/>
      <c r="C1030" s="236" t="s">
        <v>489</v>
      </c>
      <c r="D1030" s="344"/>
      <c r="E1030" s="164"/>
      <c r="F1030" s="165"/>
      <c r="G1030" s="172"/>
      <c r="H1030" s="164"/>
      <c r="I1030" s="164"/>
      <c r="J1030" s="164"/>
      <c r="K1030" s="223"/>
      <c r="L1030" s="234"/>
      <c r="M1030" s="202"/>
      <c r="N1030" s="250"/>
      <c r="O1030" s="203"/>
      <c r="P1030" s="244"/>
      <c r="Q1030" s="203"/>
      <c r="R1030" s="255"/>
      <c r="S1030" s="226"/>
      <c r="T1030" s="235"/>
      <c r="U1030" s="390"/>
    </row>
    <row r="1031" spans="1:21" ht="15.75" hidden="1" outlineLevel="3">
      <c r="A1031" s="162"/>
      <c r="B1031" s="152"/>
      <c r="C1031" s="151" t="s">
        <v>506</v>
      </c>
      <c r="D1031" s="339"/>
      <c r="E1031" s="164"/>
      <c r="F1031" s="165"/>
      <c r="G1031" s="172"/>
      <c r="H1031" s="164"/>
      <c r="I1031" s="164"/>
      <c r="J1031" s="164"/>
      <c r="K1031" s="223"/>
      <c r="L1031" s="234"/>
      <c r="M1031" s="202"/>
      <c r="N1031" s="250"/>
      <c r="O1031" s="203"/>
      <c r="P1031" s="244"/>
      <c r="Q1031" s="203"/>
      <c r="R1031" s="255"/>
      <c r="S1031" s="226"/>
      <c r="T1031" s="235"/>
      <c r="U1031" s="390"/>
    </row>
    <row r="1032" spans="1:21" ht="15.75" hidden="1" outlineLevel="3">
      <c r="A1032" s="162"/>
      <c r="B1032" s="152"/>
      <c r="C1032" s="236" t="s">
        <v>491</v>
      </c>
      <c r="D1032" s="344"/>
      <c r="E1032" s="164"/>
      <c r="F1032" s="165"/>
      <c r="G1032" s="172"/>
      <c r="H1032" s="164"/>
      <c r="I1032" s="164"/>
      <c r="J1032" s="164"/>
      <c r="K1032" s="223"/>
      <c r="L1032" s="234"/>
      <c r="M1032" s="202"/>
      <c r="N1032" s="250"/>
      <c r="O1032" s="203"/>
      <c r="P1032" s="244"/>
      <c r="Q1032" s="203"/>
      <c r="R1032" s="255"/>
      <c r="S1032" s="226"/>
      <c r="T1032" s="235"/>
      <c r="U1032" s="390"/>
    </row>
    <row r="1033" spans="1:21" ht="15.75" hidden="1" outlineLevel="3">
      <c r="A1033" s="162"/>
      <c r="B1033" s="152"/>
      <c r="C1033" s="236" t="s">
        <v>492</v>
      </c>
      <c r="D1033" s="344"/>
      <c r="E1033" s="211"/>
      <c r="F1033" s="211"/>
      <c r="G1033" s="172"/>
      <c r="H1033" s="164"/>
      <c r="I1033" s="164"/>
      <c r="J1033" s="164"/>
      <c r="K1033" s="218"/>
      <c r="L1033" s="234"/>
      <c r="M1033" s="206"/>
      <c r="N1033" s="250"/>
      <c r="O1033" s="203"/>
      <c r="P1033" s="244"/>
      <c r="Q1033" s="203"/>
      <c r="R1033" s="255"/>
      <c r="S1033" s="226"/>
      <c r="T1033" s="235"/>
      <c r="U1033" s="390"/>
    </row>
    <row r="1034" spans="1:21" ht="15.75" hidden="1" outlineLevel="3">
      <c r="A1034" s="162"/>
      <c r="B1034" s="152"/>
      <c r="C1034" s="236" t="s">
        <v>493</v>
      </c>
      <c r="D1034" s="344"/>
      <c r="E1034" s="164"/>
      <c r="F1034" s="165"/>
      <c r="G1034" s="172"/>
      <c r="H1034" s="164"/>
      <c r="I1034" s="164"/>
      <c r="J1034" s="164"/>
      <c r="K1034" s="223"/>
      <c r="L1034" s="234"/>
      <c r="M1034" s="202"/>
      <c r="N1034" s="250"/>
      <c r="O1034" s="203"/>
      <c r="P1034" s="244"/>
      <c r="Q1034" s="203"/>
      <c r="R1034" s="255"/>
      <c r="S1034" s="226"/>
      <c r="T1034" s="235"/>
      <c r="U1034" s="390"/>
    </row>
    <row r="1035" spans="1:21" ht="15.75" hidden="1" outlineLevel="3">
      <c r="A1035" s="162"/>
      <c r="B1035" s="152"/>
      <c r="C1035" s="236" t="s">
        <v>494</v>
      </c>
      <c r="D1035" s="344"/>
      <c r="E1035" s="164"/>
      <c r="F1035" s="165"/>
      <c r="G1035" s="172"/>
      <c r="H1035" s="164"/>
      <c r="I1035" s="164"/>
      <c r="J1035" s="164"/>
      <c r="K1035" s="223"/>
      <c r="L1035" s="234"/>
      <c r="M1035" s="202"/>
      <c r="N1035" s="250"/>
      <c r="O1035" s="203"/>
      <c r="P1035" s="244"/>
      <c r="Q1035" s="203"/>
      <c r="R1035" s="255"/>
      <c r="S1035" s="226"/>
      <c r="T1035" s="235"/>
      <c r="U1035" s="483"/>
    </row>
    <row r="1036" spans="1:21" ht="15.75" hidden="1" outlineLevel="3">
      <c r="A1036" s="162"/>
      <c r="B1036" s="152"/>
      <c r="C1036" s="151" t="s">
        <v>507</v>
      </c>
      <c r="D1036" s="339"/>
      <c r="E1036" s="164"/>
      <c r="F1036" s="165"/>
      <c r="G1036" s="172"/>
      <c r="H1036" s="164"/>
      <c r="I1036" s="164"/>
      <c r="J1036" s="164"/>
      <c r="K1036" s="223"/>
      <c r="L1036" s="234"/>
      <c r="M1036" s="202"/>
      <c r="N1036" s="250"/>
      <c r="O1036" s="203"/>
      <c r="P1036" s="244"/>
      <c r="Q1036" s="203"/>
      <c r="R1036" s="255"/>
      <c r="S1036" s="226"/>
      <c r="T1036" s="235"/>
      <c r="U1036" s="390"/>
    </row>
    <row r="1037" spans="1:21" ht="15.75" hidden="1" outlineLevel="3">
      <c r="A1037" s="162"/>
      <c r="B1037" s="152"/>
      <c r="C1037" s="174" t="s">
        <v>496</v>
      </c>
      <c r="D1037" s="340"/>
      <c r="E1037" s="164"/>
      <c r="F1037" s="165"/>
      <c r="G1037" s="172"/>
      <c r="H1037" s="164"/>
      <c r="I1037" s="164"/>
      <c r="J1037" s="164"/>
      <c r="K1037" s="223"/>
      <c r="L1037" s="234"/>
      <c r="M1037" s="202"/>
      <c r="N1037" s="250"/>
      <c r="O1037" s="203"/>
      <c r="P1037" s="244"/>
      <c r="Q1037" s="203"/>
      <c r="R1037" s="255"/>
      <c r="S1037" s="226"/>
      <c r="T1037" s="235"/>
      <c r="U1037" s="390"/>
    </row>
    <row r="1038" spans="1:21" ht="15.75" hidden="1" outlineLevel="3">
      <c r="A1038" s="162"/>
      <c r="B1038" s="152"/>
      <c r="C1038" s="174" t="s">
        <v>497</v>
      </c>
      <c r="D1038" s="340"/>
      <c r="E1038" s="164"/>
      <c r="F1038" s="165"/>
      <c r="G1038" s="172"/>
      <c r="H1038" s="164"/>
      <c r="I1038" s="164"/>
      <c r="J1038" s="164"/>
      <c r="K1038" s="223"/>
      <c r="L1038" s="234"/>
      <c r="M1038" s="202"/>
      <c r="N1038" s="250"/>
      <c r="O1038" s="203"/>
      <c r="P1038" s="244"/>
      <c r="Q1038" s="203"/>
      <c r="R1038" s="255"/>
      <c r="S1038" s="226"/>
      <c r="T1038" s="235"/>
      <c r="U1038" s="390"/>
    </row>
    <row r="1039" spans="1:21" ht="15.75" hidden="1" outlineLevel="3">
      <c r="A1039" s="162"/>
      <c r="B1039" s="152"/>
      <c r="C1039" s="174" t="s">
        <v>499</v>
      </c>
      <c r="D1039" s="340"/>
      <c r="E1039" s="164"/>
      <c r="F1039" s="165"/>
      <c r="G1039" s="172"/>
      <c r="H1039" s="164"/>
      <c r="I1039" s="164"/>
      <c r="J1039" s="164"/>
      <c r="K1039" s="223"/>
      <c r="L1039" s="234"/>
      <c r="M1039" s="202"/>
      <c r="N1039" s="250"/>
      <c r="O1039" s="203"/>
      <c r="P1039" s="244"/>
      <c r="Q1039" s="203"/>
      <c r="R1039" s="255"/>
      <c r="S1039" s="226"/>
      <c r="T1039" s="235"/>
      <c r="U1039" s="390"/>
    </row>
    <row r="1040" spans="1:21" ht="15.75" hidden="1" outlineLevel="3">
      <c r="A1040" s="162"/>
      <c r="B1040" s="152"/>
      <c r="C1040" s="174" t="s">
        <v>526</v>
      </c>
      <c r="D1040" s="340"/>
      <c r="E1040" s="164"/>
      <c r="F1040" s="165"/>
      <c r="G1040" s="172"/>
      <c r="H1040" s="219"/>
      <c r="I1040" s="164"/>
      <c r="J1040" s="164"/>
      <c r="K1040" s="223"/>
      <c r="L1040" s="234"/>
      <c r="M1040" s="203"/>
      <c r="N1040" s="250"/>
      <c r="O1040" s="203"/>
      <c r="P1040" s="244"/>
      <c r="Q1040" s="203"/>
      <c r="R1040" s="255"/>
      <c r="S1040" s="226"/>
      <c r="T1040" s="235"/>
      <c r="U1040" s="483"/>
    </row>
    <row r="1041" spans="1:21" s="233" customFormat="1" hidden="1" outlineLevel="2" collapsed="1">
      <c r="A1041" s="232"/>
      <c r="B1041" s="171"/>
      <c r="C1041" s="151" t="s">
        <v>702</v>
      </c>
      <c r="D1041" s="339"/>
      <c r="E1041" s="157"/>
      <c r="F1041" s="158"/>
      <c r="G1041" s="197"/>
      <c r="H1041" s="157"/>
      <c r="I1041" s="157"/>
      <c r="J1041" s="157"/>
      <c r="K1041" s="215"/>
      <c r="L1041" s="155"/>
      <c r="M1041" s="156"/>
      <c r="N1041" s="244"/>
      <c r="O1041" s="157"/>
      <c r="P1041" s="244"/>
      <c r="Q1041" s="157"/>
      <c r="R1041" s="255"/>
      <c r="S1041" s="159"/>
      <c r="T1041" s="225"/>
      <c r="U1041" s="390" t="s">
        <v>681</v>
      </c>
    </row>
    <row r="1042" spans="1:21" s="233" customFormat="1" hidden="1" outlineLevel="3">
      <c r="A1042" s="232"/>
      <c r="B1042" s="151" t="s">
        <v>703</v>
      </c>
      <c r="C1042" s="171"/>
      <c r="D1042" s="343"/>
      <c r="E1042" s="157"/>
      <c r="F1042" s="158"/>
      <c r="G1042" s="197"/>
      <c r="H1042" s="157"/>
      <c r="I1042" s="157"/>
      <c r="J1042" s="157"/>
      <c r="K1042" s="215"/>
      <c r="L1042" s="155"/>
      <c r="M1042" s="156"/>
      <c r="N1042" s="250"/>
      <c r="O1042" s="157"/>
      <c r="P1042" s="244"/>
      <c r="Q1042" s="157"/>
      <c r="R1042" s="255"/>
      <c r="S1042" s="159"/>
      <c r="T1042" s="225"/>
      <c r="U1042" s="390" t="s">
        <v>704</v>
      </c>
    </row>
    <row r="1043" spans="1:21" ht="15.75" hidden="1" outlineLevel="3">
      <c r="A1043" s="162"/>
      <c r="B1043" s="152"/>
      <c r="C1043" s="151" t="s">
        <v>503</v>
      </c>
      <c r="D1043" s="339"/>
      <c r="E1043" s="164"/>
      <c r="F1043" s="165"/>
      <c r="G1043" s="172"/>
      <c r="H1043" s="164"/>
      <c r="I1043" s="164"/>
      <c r="J1043" s="164"/>
      <c r="K1043" s="223"/>
      <c r="L1043" s="234"/>
      <c r="M1043" s="202"/>
      <c r="N1043" s="250"/>
      <c r="O1043" s="203"/>
      <c r="P1043" s="244"/>
      <c r="Q1043" s="203"/>
      <c r="R1043" s="255"/>
      <c r="S1043" s="226"/>
      <c r="T1043" s="235"/>
      <c r="U1043" s="390"/>
    </row>
    <row r="1044" spans="1:21" ht="15.75" hidden="1" outlineLevel="3">
      <c r="A1044" s="162"/>
      <c r="B1044" s="152"/>
      <c r="C1044" s="236" t="s">
        <v>520</v>
      </c>
      <c r="D1044" s="344"/>
      <c r="E1044" s="164"/>
      <c r="F1044" s="165"/>
      <c r="G1044" s="172"/>
      <c r="H1044" s="164"/>
      <c r="I1044" s="164"/>
      <c r="J1044" s="164"/>
      <c r="K1044" s="223"/>
      <c r="L1044" s="234"/>
      <c r="M1044" s="202"/>
      <c r="N1044" s="250"/>
      <c r="O1044" s="203"/>
      <c r="P1044" s="244"/>
      <c r="Q1044" s="203"/>
      <c r="R1044" s="255"/>
      <c r="S1044" s="226"/>
      <c r="T1044" s="235"/>
      <c r="U1044" s="390"/>
    </row>
    <row r="1045" spans="1:21" ht="15.75" hidden="1" outlineLevel="3">
      <c r="A1045" s="162"/>
      <c r="B1045" s="152"/>
      <c r="C1045" s="236" t="s">
        <v>478</v>
      </c>
      <c r="D1045" s="344"/>
      <c r="E1045" s="164"/>
      <c r="F1045" s="165"/>
      <c r="G1045" s="172"/>
      <c r="H1045" s="164"/>
      <c r="I1045" s="164"/>
      <c r="J1045" s="164"/>
      <c r="K1045" s="223"/>
      <c r="L1045" s="234"/>
      <c r="M1045" s="202"/>
      <c r="N1045" s="250"/>
      <c r="O1045" s="203"/>
      <c r="P1045" s="244"/>
      <c r="Q1045" s="203"/>
      <c r="R1045" s="255"/>
      <c r="S1045" s="226"/>
      <c r="T1045" s="235"/>
      <c r="U1045" s="390"/>
    </row>
    <row r="1046" spans="1:21" ht="15.75" hidden="1" outlineLevel="3">
      <c r="A1046" s="162"/>
      <c r="B1046" s="152"/>
      <c r="C1046" s="236" t="s">
        <v>479</v>
      </c>
      <c r="D1046" s="344"/>
      <c r="E1046" s="164"/>
      <c r="F1046" s="165"/>
      <c r="G1046" s="172"/>
      <c r="H1046" s="164"/>
      <c r="I1046" s="164"/>
      <c r="J1046" s="164"/>
      <c r="K1046" s="223"/>
      <c r="L1046" s="220"/>
      <c r="M1046" s="204"/>
      <c r="N1046" s="250"/>
      <c r="O1046" s="203"/>
      <c r="P1046" s="244"/>
      <c r="Q1046" s="203"/>
      <c r="R1046" s="255"/>
      <c r="S1046" s="226"/>
      <c r="T1046" s="235"/>
      <c r="U1046" s="390"/>
    </row>
    <row r="1047" spans="1:21" ht="15.75" hidden="1" outlineLevel="3">
      <c r="A1047" s="162"/>
      <c r="B1047" s="152"/>
      <c r="C1047" s="236" t="s">
        <v>480</v>
      </c>
      <c r="D1047" s="344"/>
      <c r="E1047" s="164"/>
      <c r="F1047" s="165"/>
      <c r="G1047" s="172"/>
      <c r="H1047" s="164"/>
      <c r="I1047" s="164"/>
      <c r="J1047" s="164"/>
      <c r="K1047" s="223"/>
      <c r="L1047" s="234"/>
      <c r="M1047" s="202"/>
      <c r="N1047" s="250"/>
      <c r="O1047" s="203"/>
      <c r="P1047" s="244"/>
      <c r="Q1047" s="203"/>
      <c r="R1047" s="255"/>
      <c r="S1047" s="226"/>
      <c r="T1047" s="235"/>
      <c r="U1047" s="390"/>
    </row>
    <row r="1048" spans="1:21" ht="15.75" hidden="1" outlineLevel="3">
      <c r="A1048" s="162"/>
      <c r="B1048" s="152"/>
      <c r="C1048" s="236" t="s">
        <v>512</v>
      </c>
      <c r="D1048" s="344"/>
      <c r="E1048" s="164"/>
      <c r="F1048" s="165"/>
      <c r="G1048" s="172"/>
      <c r="H1048" s="164"/>
      <c r="I1048" s="164"/>
      <c r="J1048" s="164"/>
      <c r="K1048" s="223"/>
      <c r="L1048" s="234"/>
      <c r="M1048" s="202"/>
      <c r="N1048" s="250"/>
      <c r="O1048" s="203"/>
      <c r="P1048" s="244"/>
      <c r="Q1048" s="203"/>
      <c r="R1048" s="255"/>
      <c r="S1048" s="226"/>
      <c r="T1048" s="235"/>
      <c r="U1048" s="390"/>
    </row>
    <row r="1049" spans="1:21" ht="15.75" hidden="1" outlineLevel="3">
      <c r="A1049" s="162"/>
      <c r="B1049" s="152"/>
      <c r="C1049" s="151" t="s">
        <v>504</v>
      </c>
      <c r="D1049" s="339"/>
      <c r="E1049" s="164"/>
      <c r="F1049" s="165"/>
      <c r="G1049" s="172"/>
      <c r="H1049" s="164"/>
      <c r="I1049" s="164"/>
      <c r="J1049" s="164"/>
      <c r="K1049" s="223"/>
      <c r="L1049" s="234"/>
      <c r="M1049" s="202"/>
      <c r="N1049" s="250"/>
      <c r="O1049" s="203"/>
      <c r="P1049" s="244"/>
      <c r="Q1049" s="203"/>
      <c r="R1049" s="255"/>
      <c r="S1049" s="226"/>
      <c r="T1049" s="235"/>
      <c r="U1049" s="390"/>
    </row>
    <row r="1050" spans="1:21" ht="15.75" hidden="1" outlineLevel="3">
      <c r="A1050" s="162"/>
      <c r="B1050" s="152"/>
      <c r="C1050" s="236" t="s">
        <v>483</v>
      </c>
      <c r="D1050" s="344"/>
      <c r="E1050" s="164"/>
      <c r="F1050" s="165"/>
      <c r="G1050" s="172"/>
      <c r="H1050" s="164"/>
      <c r="I1050" s="164"/>
      <c r="J1050" s="164"/>
      <c r="K1050" s="223"/>
      <c r="L1050" s="234"/>
      <c r="M1050" s="202"/>
      <c r="N1050" s="250"/>
      <c r="O1050" s="203"/>
      <c r="P1050" s="244"/>
      <c r="Q1050" s="203"/>
      <c r="R1050" s="255"/>
      <c r="S1050" s="226"/>
      <c r="T1050" s="235"/>
      <c r="U1050" s="390"/>
    </row>
    <row r="1051" spans="1:21" ht="15.75" hidden="1" outlineLevel="3">
      <c r="A1051" s="162"/>
      <c r="B1051" s="152"/>
      <c r="C1051" s="236" t="s">
        <v>484</v>
      </c>
      <c r="D1051" s="344"/>
      <c r="E1051" s="164"/>
      <c r="F1051" s="165"/>
      <c r="G1051" s="172"/>
      <c r="H1051" s="164"/>
      <c r="I1051" s="164"/>
      <c r="J1051" s="164"/>
      <c r="K1051" s="223"/>
      <c r="L1051" s="234"/>
      <c r="M1051" s="202"/>
      <c r="N1051" s="250"/>
      <c r="O1051" s="203"/>
      <c r="P1051" s="244"/>
      <c r="Q1051" s="203"/>
      <c r="R1051" s="255"/>
      <c r="S1051" s="226"/>
      <c r="T1051" s="235"/>
      <c r="U1051" s="390"/>
    </row>
    <row r="1052" spans="1:21" ht="15.75" hidden="1" outlineLevel="3">
      <c r="A1052" s="162"/>
      <c r="B1052" s="152"/>
      <c r="C1052" s="236" t="s">
        <v>479</v>
      </c>
      <c r="D1052" s="344"/>
      <c r="E1052" s="164"/>
      <c r="F1052" s="165"/>
      <c r="G1052" s="172"/>
      <c r="H1052" s="164"/>
      <c r="I1052" s="164"/>
      <c r="J1052" s="164"/>
      <c r="K1052" s="223"/>
      <c r="L1052" s="234"/>
      <c r="M1052" s="202"/>
      <c r="N1052" s="250"/>
      <c r="O1052" s="203"/>
      <c r="P1052" s="244"/>
      <c r="Q1052" s="203"/>
      <c r="R1052" s="255"/>
      <c r="S1052" s="226"/>
      <c r="T1052" s="235"/>
      <c r="U1052" s="390"/>
    </row>
    <row r="1053" spans="1:21" ht="15.75" hidden="1" outlineLevel="3">
      <c r="A1053" s="162"/>
      <c r="B1053" s="152"/>
      <c r="C1053" s="236" t="s">
        <v>485</v>
      </c>
      <c r="D1053" s="344"/>
      <c r="E1053" s="164"/>
      <c r="F1053" s="165"/>
      <c r="G1053" s="172"/>
      <c r="H1053" s="164"/>
      <c r="I1053" s="164"/>
      <c r="J1053" s="164"/>
      <c r="K1053" s="223"/>
      <c r="L1053" s="234"/>
      <c r="M1053" s="202"/>
      <c r="N1053" s="250"/>
      <c r="O1053" s="203"/>
      <c r="P1053" s="244"/>
      <c r="Q1053" s="203"/>
      <c r="R1053" s="255"/>
      <c r="S1053" s="226"/>
      <c r="T1053" s="235"/>
      <c r="U1053" s="390"/>
    </row>
    <row r="1054" spans="1:21" ht="15.75" hidden="1" outlineLevel="3">
      <c r="A1054" s="162"/>
      <c r="B1054" s="152"/>
      <c r="C1054" s="151" t="s">
        <v>505</v>
      </c>
      <c r="D1054" s="339"/>
      <c r="E1054" s="164"/>
      <c r="F1054" s="165"/>
      <c r="G1054" s="172"/>
      <c r="H1054" s="164"/>
      <c r="I1054" s="164"/>
      <c r="J1054" s="164"/>
      <c r="K1054" s="223"/>
      <c r="L1054" s="234"/>
      <c r="M1054" s="202"/>
      <c r="N1054" s="250"/>
      <c r="O1054" s="203"/>
      <c r="P1054" s="244"/>
      <c r="Q1054" s="203"/>
      <c r="R1054" s="255"/>
      <c r="S1054" s="226"/>
      <c r="T1054" s="235"/>
      <c r="U1054" s="390"/>
    </row>
    <row r="1055" spans="1:21" ht="15.75" hidden="1" outlineLevel="3">
      <c r="A1055" s="162"/>
      <c r="B1055" s="152"/>
      <c r="C1055" s="236" t="s">
        <v>487</v>
      </c>
      <c r="D1055" s="344"/>
      <c r="E1055" s="164"/>
      <c r="F1055" s="165"/>
      <c r="G1055" s="172"/>
      <c r="H1055" s="164"/>
      <c r="I1055" s="164"/>
      <c r="J1055" s="164"/>
      <c r="K1055" s="223"/>
      <c r="L1055" s="234"/>
      <c r="M1055" s="202"/>
      <c r="N1055" s="250"/>
      <c r="O1055" s="203"/>
      <c r="P1055" s="244"/>
      <c r="Q1055" s="203"/>
      <c r="R1055" s="255"/>
      <c r="S1055" s="226"/>
      <c r="T1055" s="235"/>
      <c r="U1055" s="390"/>
    </row>
    <row r="1056" spans="1:21" ht="15.75" hidden="1" outlineLevel="3">
      <c r="A1056" s="162"/>
      <c r="B1056" s="152"/>
      <c r="C1056" s="236" t="s">
        <v>479</v>
      </c>
      <c r="D1056" s="344"/>
      <c r="E1056" s="164"/>
      <c r="F1056" s="165"/>
      <c r="G1056" s="172"/>
      <c r="H1056" s="164"/>
      <c r="I1056" s="164"/>
      <c r="J1056" s="164"/>
      <c r="K1056" s="223"/>
      <c r="L1056" s="234"/>
      <c r="M1056" s="202"/>
      <c r="N1056" s="250"/>
      <c r="O1056" s="203"/>
      <c r="P1056" s="244"/>
      <c r="Q1056" s="203"/>
      <c r="R1056" s="255"/>
      <c r="S1056" s="226"/>
      <c r="T1056" s="235"/>
      <c r="U1056" s="390"/>
    </row>
    <row r="1057" spans="1:21" ht="15.75" hidden="1" outlineLevel="3">
      <c r="A1057" s="162"/>
      <c r="B1057" s="152"/>
      <c r="C1057" s="236" t="s">
        <v>488</v>
      </c>
      <c r="D1057" s="344"/>
      <c r="E1057" s="164"/>
      <c r="F1057" s="165"/>
      <c r="G1057" s="172"/>
      <c r="H1057" s="164"/>
      <c r="I1057" s="164"/>
      <c r="J1057" s="164"/>
      <c r="K1057" s="223"/>
      <c r="L1057" s="234"/>
      <c r="M1057" s="202"/>
      <c r="N1057" s="250"/>
      <c r="O1057" s="203"/>
      <c r="P1057" s="244"/>
      <c r="Q1057" s="203"/>
      <c r="R1057" s="255"/>
      <c r="S1057" s="226"/>
      <c r="T1057" s="235"/>
      <c r="U1057" s="390"/>
    </row>
    <row r="1058" spans="1:21" ht="15.75" hidden="1" outlineLevel="3">
      <c r="A1058" s="162"/>
      <c r="B1058" s="152"/>
      <c r="C1058" s="236" t="s">
        <v>489</v>
      </c>
      <c r="D1058" s="344"/>
      <c r="E1058" s="164"/>
      <c r="F1058" s="165"/>
      <c r="G1058" s="172"/>
      <c r="H1058" s="164"/>
      <c r="I1058" s="164"/>
      <c r="J1058" s="164"/>
      <c r="K1058" s="223"/>
      <c r="L1058" s="234"/>
      <c r="M1058" s="202"/>
      <c r="N1058" s="250"/>
      <c r="O1058" s="203"/>
      <c r="P1058" s="244"/>
      <c r="Q1058" s="203"/>
      <c r="R1058" s="255"/>
      <c r="S1058" s="226"/>
      <c r="T1058" s="235"/>
      <c r="U1058" s="390"/>
    </row>
    <row r="1059" spans="1:21" ht="15.75" hidden="1" outlineLevel="3">
      <c r="A1059" s="162"/>
      <c r="B1059" s="152"/>
      <c r="C1059" s="151" t="s">
        <v>506</v>
      </c>
      <c r="D1059" s="339"/>
      <c r="E1059" s="164"/>
      <c r="F1059" s="165"/>
      <c r="G1059" s="172"/>
      <c r="H1059" s="164"/>
      <c r="I1059" s="164"/>
      <c r="J1059" s="164"/>
      <c r="K1059" s="223"/>
      <c r="L1059" s="234"/>
      <c r="M1059" s="202"/>
      <c r="N1059" s="250"/>
      <c r="O1059" s="203"/>
      <c r="P1059" s="244"/>
      <c r="Q1059" s="203"/>
      <c r="R1059" s="255"/>
      <c r="S1059" s="226"/>
      <c r="T1059" s="235"/>
      <c r="U1059" s="390"/>
    </row>
    <row r="1060" spans="1:21" ht="15.75" hidden="1" outlineLevel="3">
      <c r="A1060" s="162"/>
      <c r="B1060" s="152"/>
      <c r="C1060" s="236" t="s">
        <v>491</v>
      </c>
      <c r="D1060" s="344"/>
      <c r="E1060" s="164"/>
      <c r="F1060" s="165"/>
      <c r="G1060" s="172"/>
      <c r="H1060" s="164"/>
      <c r="I1060" s="164"/>
      <c r="J1060" s="164"/>
      <c r="K1060" s="223"/>
      <c r="L1060" s="234"/>
      <c r="M1060" s="202"/>
      <c r="N1060" s="250"/>
      <c r="O1060" s="203"/>
      <c r="P1060" s="244"/>
      <c r="Q1060" s="203"/>
      <c r="R1060" s="255"/>
      <c r="S1060" s="226"/>
      <c r="T1060" s="235"/>
      <c r="U1060" s="390"/>
    </row>
    <row r="1061" spans="1:21" ht="15.75" hidden="1" outlineLevel="3">
      <c r="A1061" s="162"/>
      <c r="B1061" s="152"/>
      <c r="C1061" s="236" t="s">
        <v>492</v>
      </c>
      <c r="D1061" s="344"/>
      <c r="E1061" s="211"/>
      <c r="F1061" s="211"/>
      <c r="G1061" s="172"/>
      <c r="H1061" s="164"/>
      <c r="I1061" s="164"/>
      <c r="J1061" s="164"/>
      <c r="K1061" s="223"/>
      <c r="L1061" s="234"/>
      <c r="M1061" s="202"/>
      <c r="N1061" s="250"/>
      <c r="O1061" s="203"/>
      <c r="P1061" s="244"/>
      <c r="Q1061" s="203"/>
      <c r="R1061" s="255"/>
      <c r="S1061" s="226"/>
      <c r="T1061" s="235"/>
      <c r="U1061" s="390"/>
    </row>
    <row r="1062" spans="1:21" ht="15.75" hidden="1" outlineLevel="3">
      <c r="A1062" s="162"/>
      <c r="B1062" s="152"/>
      <c r="C1062" s="236" t="s">
        <v>493</v>
      </c>
      <c r="D1062" s="344"/>
      <c r="E1062" s="164"/>
      <c r="F1062" s="165"/>
      <c r="G1062" s="172"/>
      <c r="H1062" s="164"/>
      <c r="I1062" s="164"/>
      <c r="J1062" s="164"/>
      <c r="K1062" s="223"/>
      <c r="L1062" s="234"/>
      <c r="M1062" s="202"/>
      <c r="N1062" s="250"/>
      <c r="O1062" s="203"/>
      <c r="P1062" s="244"/>
      <c r="Q1062" s="203"/>
      <c r="R1062" s="255"/>
      <c r="S1062" s="226"/>
      <c r="T1062" s="235"/>
      <c r="U1062" s="390"/>
    </row>
    <row r="1063" spans="1:21" ht="15.75" hidden="1" outlineLevel="3">
      <c r="A1063" s="162"/>
      <c r="B1063" s="152"/>
      <c r="C1063" s="236" t="s">
        <v>494</v>
      </c>
      <c r="D1063" s="344"/>
      <c r="E1063" s="164"/>
      <c r="F1063" s="165"/>
      <c r="G1063" s="172"/>
      <c r="H1063" s="164"/>
      <c r="I1063" s="164"/>
      <c r="J1063" s="164"/>
      <c r="K1063" s="223"/>
      <c r="L1063" s="234"/>
      <c r="M1063" s="202"/>
      <c r="N1063" s="250"/>
      <c r="O1063" s="203"/>
      <c r="P1063" s="244"/>
      <c r="Q1063" s="203"/>
      <c r="R1063" s="255"/>
      <c r="S1063" s="226"/>
      <c r="T1063" s="235"/>
      <c r="U1063" s="483"/>
    </row>
    <row r="1064" spans="1:21" ht="15.75" hidden="1" outlineLevel="3">
      <c r="A1064" s="162"/>
      <c r="B1064" s="152"/>
      <c r="C1064" s="151" t="s">
        <v>507</v>
      </c>
      <c r="D1064" s="339"/>
      <c r="E1064" s="164"/>
      <c r="F1064" s="165"/>
      <c r="G1064" s="172"/>
      <c r="H1064" s="164"/>
      <c r="I1064" s="164"/>
      <c r="J1064" s="164"/>
      <c r="K1064" s="223"/>
      <c r="L1064" s="234"/>
      <c r="M1064" s="202"/>
      <c r="N1064" s="250"/>
      <c r="O1064" s="203"/>
      <c r="P1064" s="244"/>
      <c r="Q1064" s="203"/>
      <c r="R1064" s="255"/>
      <c r="S1064" s="226"/>
      <c r="T1064" s="235"/>
      <c r="U1064" s="390"/>
    </row>
    <row r="1065" spans="1:21" ht="15.75" hidden="1" outlineLevel="3">
      <c r="A1065" s="162"/>
      <c r="B1065" s="152"/>
      <c r="C1065" s="174" t="s">
        <v>496</v>
      </c>
      <c r="D1065" s="340"/>
      <c r="E1065" s="164"/>
      <c r="F1065" s="165"/>
      <c r="G1065" s="172"/>
      <c r="H1065" s="164"/>
      <c r="I1065" s="164"/>
      <c r="J1065" s="164"/>
      <c r="K1065" s="223"/>
      <c r="L1065" s="234"/>
      <c r="M1065" s="202"/>
      <c r="N1065" s="250"/>
      <c r="O1065" s="203"/>
      <c r="P1065" s="244"/>
      <c r="Q1065" s="203"/>
      <c r="R1065" s="255"/>
      <c r="S1065" s="226"/>
      <c r="T1065" s="235"/>
      <c r="U1065" s="390"/>
    </row>
    <row r="1066" spans="1:21" ht="15.75" hidden="1" outlineLevel="3">
      <c r="A1066" s="162"/>
      <c r="B1066" s="152"/>
      <c r="C1066" s="174" t="s">
        <v>497</v>
      </c>
      <c r="D1066" s="340"/>
      <c r="E1066" s="164"/>
      <c r="F1066" s="165"/>
      <c r="G1066" s="172"/>
      <c r="H1066" s="164"/>
      <c r="I1066" s="164"/>
      <c r="J1066" s="164"/>
      <c r="K1066" s="223"/>
      <c r="L1066" s="234"/>
      <c r="M1066" s="202"/>
      <c r="N1066" s="250"/>
      <c r="O1066" s="203"/>
      <c r="P1066" s="244"/>
      <c r="Q1066" s="203"/>
      <c r="R1066" s="255"/>
      <c r="S1066" s="226"/>
      <c r="T1066" s="235"/>
      <c r="U1066" s="390"/>
    </row>
    <row r="1067" spans="1:21" ht="15.75" hidden="1" outlineLevel="3">
      <c r="A1067" s="162"/>
      <c r="B1067" s="152"/>
      <c r="C1067" s="174" t="s">
        <v>499</v>
      </c>
      <c r="D1067" s="340"/>
      <c r="E1067" s="164"/>
      <c r="F1067" s="165"/>
      <c r="G1067" s="172"/>
      <c r="H1067" s="164"/>
      <c r="I1067" s="164"/>
      <c r="J1067" s="164"/>
      <c r="K1067" s="223"/>
      <c r="L1067" s="234"/>
      <c r="M1067" s="202"/>
      <c r="N1067" s="250"/>
      <c r="O1067" s="203"/>
      <c r="P1067" s="244"/>
      <c r="Q1067" s="203"/>
      <c r="R1067" s="255"/>
      <c r="S1067" s="226"/>
      <c r="T1067" s="235"/>
      <c r="U1067" s="390"/>
    </row>
    <row r="1068" spans="1:21" ht="15.75" hidden="1" outlineLevel="3">
      <c r="A1068" s="162"/>
      <c r="B1068" s="152"/>
      <c r="C1068" s="174" t="s">
        <v>526</v>
      </c>
      <c r="D1068" s="340"/>
      <c r="E1068" s="164"/>
      <c r="F1068" s="165"/>
      <c r="G1068" s="172"/>
      <c r="H1068" s="164"/>
      <c r="I1068" s="164"/>
      <c r="J1068" s="164"/>
      <c r="K1068" s="223"/>
      <c r="L1068" s="234"/>
      <c r="M1068" s="202"/>
      <c r="N1068" s="250"/>
      <c r="O1068" s="203"/>
      <c r="P1068" s="244"/>
      <c r="Q1068" s="203"/>
      <c r="R1068" s="255"/>
      <c r="S1068" s="226"/>
      <c r="T1068" s="235"/>
      <c r="U1068" s="483"/>
    </row>
    <row r="1069" spans="1:21" ht="15.75" hidden="1" outlineLevel="2" collapsed="1">
      <c r="A1069" s="162"/>
      <c r="B1069" s="152"/>
      <c r="C1069" s="151" t="s">
        <v>703</v>
      </c>
      <c r="D1069" s="339"/>
      <c r="E1069" s="164"/>
      <c r="F1069" s="165"/>
      <c r="G1069" s="172"/>
      <c r="H1069" s="164"/>
      <c r="I1069" s="164"/>
      <c r="J1069" s="164"/>
      <c r="K1069" s="223"/>
      <c r="L1069" s="234"/>
      <c r="M1069" s="202"/>
      <c r="N1069" s="244"/>
      <c r="O1069" s="203"/>
      <c r="P1069" s="244"/>
      <c r="Q1069" s="203"/>
      <c r="R1069" s="255"/>
      <c r="S1069" s="226"/>
      <c r="T1069" s="235"/>
      <c r="U1069" s="483" t="s">
        <v>704</v>
      </c>
    </row>
    <row r="1070" spans="1:21" s="233" customFormat="1" hidden="1" outlineLevel="1" collapsed="1">
      <c r="A1070" s="232"/>
      <c r="B1070" s="171"/>
      <c r="C1070" s="557" t="s">
        <v>705</v>
      </c>
      <c r="D1070" s="558"/>
      <c r="E1070" s="157"/>
      <c r="F1070" s="158"/>
      <c r="G1070" s="249">
        <f>SUM(G758,G789,G985,G957,G1013,G786,G873,G901,G929,G845,G1041,G817,G1069)</f>
        <v>172000</v>
      </c>
      <c r="H1070" s="244">
        <f>SUM(H758,H789,H985,H957,H1013,H786,H873,H901,H929,H845,H1041,H817,H1069)</f>
        <v>0</v>
      </c>
      <c r="I1070" s="244">
        <f>SUM(I758,I789,I985,I957,I1013,I786,I873,I901,I929,I845,I1041,I817,I1069)</f>
        <v>267806.24999999994</v>
      </c>
      <c r="J1070" s="244">
        <f>SUM(J758,J789,J985,J957,J1013,J786,J873,J901,J929,J845,J1041,J817,J1069)</f>
        <v>138589.73437499997</v>
      </c>
      <c r="K1070" s="255"/>
      <c r="L1070" s="159">
        <f>SUM(L758,L789,L985,L957,L1013,L786,L873,L901,L929,L845,L1041,L817,L1069)</f>
        <v>578395.98437499988</v>
      </c>
      <c r="M1070" s="156">
        <f>SUM(M758,M789,M985,M957,M1013,M786,M873,M901,M929,M845,M1041,M817,M1069)</f>
        <v>8188000</v>
      </c>
      <c r="N1070" s="250">
        <f>M1070*1.23</f>
        <v>10071240</v>
      </c>
      <c r="O1070" s="157">
        <f>SUM(O758,O789,O985,O957,O1013,O786,O873,O901,O929,O845,O1041,O817,O1069)</f>
        <v>2817000</v>
      </c>
      <c r="P1070" s="248">
        <f>O1070*1.46</f>
        <v>4112820</v>
      </c>
      <c r="Q1070" s="158">
        <f>SUM(Q758,Q789,Q985,Q957,Q1013,Q786,Q873,Q901,Q929,Q845,Q1041,Q817,Q1069)</f>
        <v>511000</v>
      </c>
      <c r="R1070" s="255">
        <f>Q1070*1.73</f>
        <v>884030</v>
      </c>
      <c r="S1070" s="159">
        <f t="shared" ref="S1070" si="59">SUM(L1070,N1070,P1070,R1070)</f>
        <v>15646485.984375</v>
      </c>
      <c r="T1070" s="225"/>
      <c r="U1070" s="170"/>
    </row>
    <row r="1071" spans="1:21" hidden="1" outlineLevel="2">
      <c r="A1071" s="231"/>
      <c r="B1071" s="151" t="s">
        <v>636</v>
      </c>
      <c r="C1071" s="163"/>
      <c r="D1071" s="338"/>
      <c r="E1071" s="164"/>
      <c r="F1071" s="165"/>
      <c r="G1071" s="172"/>
      <c r="H1071" s="164"/>
      <c r="I1071" s="164"/>
      <c r="J1071" s="164"/>
      <c r="K1071" s="223"/>
      <c r="L1071" s="176"/>
      <c r="M1071" s="156"/>
      <c r="N1071" s="250"/>
      <c r="O1071" s="157"/>
      <c r="P1071" s="248"/>
      <c r="Q1071" s="158"/>
      <c r="R1071" s="255"/>
      <c r="S1071" s="245"/>
      <c r="T1071" s="246"/>
      <c r="U1071" s="170"/>
    </row>
    <row r="1072" spans="1:21" s="233" customFormat="1" hidden="1" outlineLevel="3">
      <c r="A1072" s="232"/>
      <c r="B1072" s="151" t="s">
        <v>637</v>
      </c>
      <c r="C1072" s="171"/>
      <c r="D1072" s="343"/>
      <c r="E1072" s="157"/>
      <c r="F1072" s="158"/>
      <c r="G1072" s="197"/>
      <c r="H1072" s="157"/>
      <c r="I1072" s="157"/>
      <c r="J1072" s="157"/>
      <c r="K1072" s="215"/>
      <c r="L1072" s="155"/>
      <c r="M1072" s="156"/>
      <c r="N1072" s="250"/>
      <c r="O1072" s="157"/>
      <c r="P1072" s="248"/>
      <c r="Q1072" s="158"/>
      <c r="R1072" s="255"/>
      <c r="S1072" s="245"/>
      <c r="T1072" s="246"/>
      <c r="U1072" s="170"/>
    </row>
    <row r="1073" spans="1:21" ht="15.75" hidden="1" outlineLevel="3">
      <c r="A1073" s="162"/>
      <c r="B1073" s="152"/>
      <c r="C1073" s="151" t="s">
        <v>503</v>
      </c>
      <c r="D1073" s="339"/>
      <c r="E1073" s="164"/>
      <c r="F1073" s="165"/>
      <c r="G1073" s="172"/>
      <c r="H1073" s="164"/>
      <c r="I1073" s="164"/>
      <c r="J1073" s="164"/>
      <c r="K1073" s="223"/>
      <c r="L1073" s="234"/>
      <c r="M1073" s="202"/>
      <c r="N1073" s="250"/>
      <c r="O1073" s="203"/>
      <c r="P1073" s="248"/>
      <c r="Q1073" s="201"/>
      <c r="R1073" s="255"/>
      <c r="S1073" s="226"/>
      <c r="T1073" s="235"/>
      <c r="U1073" s="170"/>
    </row>
    <row r="1074" spans="1:21" ht="15.75" hidden="1" outlineLevel="3">
      <c r="A1074" s="162"/>
      <c r="B1074" s="152"/>
      <c r="C1074" s="236" t="s">
        <v>520</v>
      </c>
      <c r="D1074" s="344"/>
      <c r="E1074" s="164"/>
      <c r="F1074" s="165"/>
      <c r="G1074" s="172"/>
      <c r="H1074" s="164"/>
      <c r="I1074" s="164"/>
      <c r="J1074" s="164"/>
      <c r="K1074" s="223"/>
      <c r="L1074" s="234"/>
      <c r="M1074" s="202"/>
      <c r="N1074" s="250"/>
      <c r="O1074" s="203">
        <v>500000</v>
      </c>
      <c r="P1074" s="248">
        <f>O1074*1.46</f>
        <v>730000</v>
      </c>
      <c r="Q1074" s="201"/>
      <c r="R1074" s="255"/>
      <c r="S1074" s="159">
        <f t="shared" ref="S1074:S1100" si="60">SUM(L1074,N1074,P1074,R1074)</f>
        <v>730000</v>
      </c>
      <c r="T1074" s="235"/>
      <c r="U1074" s="170"/>
    </row>
    <row r="1075" spans="1:21" ht="15.75" hidden="1" outlineLevel="3">
      <c r="A1075" s="162"/>
      <c r="B1075" s="152"/>
      <c r="C1075" s="236" t="s">
        <v>478</v>
      </c>
      <c r="D1075" s="344"/>
      <c r="E1075" s="164"/>
      <c r="F1075" s="165"/>
      <c r="G1075" s="172"/>
      <c r="H1075" s="219">
        <f>CIP!$AS$42</f>
        <v>0</v>
      </c>
      <c r="I1075" s="164"/>
      <c r="J1075" s="164"/>
      <c r="K1075" s="223"/>
      <c r="L1075" s="234">
        <f>SUM(G1075:K1075)</f>
        <v>0</v>
      </c>
      <c r="M1075" s="202"/>
      <c r="N1075" s="250"/>
      <c r="O1075" s="203"/>
      <c r="P1075" s="248"/>
      <c r="Q1075" s="201"/>
      <c r="R1075" s="255"/>
      <c r="S1075" s="159">
        <f t="shared" si="60"/>
        <v>0</v>
      </c>
      <c r="T1075" s="235"/>
      <c r="U1075" s="161"/>
    </row>
    <row r="1076" spans="1:21" ht="15.75" hidden="1" outlineLevel="3">
      <c r="A1076" s="162"/>
      <c r="B1076" s="152"/>
      <c r="C1076" s="236" t="s">
        <v>479</v>
      </c>
      <c r="D1076" s="344"/>
      <c r="E1076" s="164"/>
      <c r="F1076" s="165"/>
      <c r="G1076" s="172"/>
      <c r="H1076" s="164"/>
      <c r="I1076" s="164"/>
      <c r="J1076" s="164"/>
      <c r="K1076" s="223"/>
      <c r="L1076" s="220"/>
      <c r="M1076" s="204"/>
      <c r="N1076" s="250"/>
      <c r="O1076" s="203"/>
      <c r="P1076" s="248"/>
      <c r="Q1076" s="201"/>
      <c r="R1076" s="255"/>
      <c r="S1076" s="159"/>
      <c r="T1076" s="235"/>
      <c r="U1076" s="170"/>
    </row>
    <row r="1077" spans="1:21" ht="15.75" hidden="1" outlineLevel="3">
      <c r="A1077" s="162"/>
      <c r="B1077" s="152"/>
      <c r="C1077" s="236" t="s">
        <v>480</v>
      </c>
      <c r="D1077" s="344"/>
      <c r="E1077" s="164"/>
      <c r="F1077" s="165"/>
      <c r="G1077" s="172"/>
      <c r="H1077" s="164"/>
      <c r="I1077" s="164"/>
      <c r="J1077" s="164"/>
      <c r="K1077" s="223"/>
      <c r="L1077" s="234"/>
      <c r="M1077" s="202"/>
      <c r="N1077" s="250"/>
      <c r="O1077" s="203"/>
      <c r="P1077" s="248"/>
      <c r="Q1077" s="201"/>
      <c r="R1077" s="255"/>
      <c r="S1077" s="159"/>
      <c r="T1077" s="235"/>
      <c r="U1077" s="170"/>
    </row>
    <row r="1078" spans="1:21" ht="15.75" hidden="1" outlineLevel="3">
      <c r="A1078" s="162"/>
      <c r="B1078" s="152"/>
      <c r="C1078" s="236" t="s">
        <v>512</v>
      </c>
      <c r="D1078" s="344"/>
      <c r="E1078" s="164"/>
      <c r="F1078" s="165"/>
      <c r="G1078" s="172"/>
      <c r="H1078" s="164"/>
      <c r="I1078" s="164"/>
      <c r="J1078" s="164"/>
      <c r="K1078" s="223"/>
      <c r="L1078" s="234"/>
      <c r="M1078" s="202"/>
      <c r="N1078" s="250"/>
      <c r="O1078" s="203"/>
      <c r="P1078" s="248"/>
      <c r="Q1078" s="201"/>
      <c r="R1078" s="255"/>
      <c r="S1078" s="159"/>
      <c r="T1078" s="235"/>
      <c r="U1078" s="170" t="s">
        <v>1142</v>
      </c>
    </row>
    <row r="1079" spans="1:21" ht="15.75" hidden="1" outlineLevel="3">
      <c r="A1079" s="162"/>
      <c r="B1079" s="152"/>
      <c r="C1079" s="151" t="s">
        <v>504</v>
      </c>
      <c r="D1079" s="339"/>
      <c r="E1079" s="164"/>
      <c r="F1079" s="165"/>
      <c r="G1079" s="172"/>
      <c r="H1079" s="164"/>
      <c r="I1079" s="164"/>
      <c r="J1079" s="164"/>
      <c r="K1079" s="223"/>
      <c r="L1079" s="234"/>
      <c r="M1079" s="202"/>
      <c r="N1079" s="250"/>
      <c r="O1079" s="203"/>
      <c r="P1079" s="248"/>
      <c r="Q1079" s="201"/>
      <c r="R1079" s="255"/>
      <c r="S1079" s="159"/>
      <c r="T1079" s="235"/>
      <c r="U1079" s="170"/>
    </row>
    <row r="1080" spans="1:21" ht="15.75" hidden="1" outlineLevel="3">
      <c r="A1080" s="162"/>
      <c r="B1080" s="152"/>
      <c r="C1080" s="236" t="s">
        <v>483</v>
      </c>
      <c r="D1080" s="344"/>
      <c r="E1080" s="164"/>
      <c r="F1080" s="165"/>
      <c r="G1080" s="172"/>
      <c r="H1080" s="164"/>
      <c r="I1080" s="164"/>
      <c r="J1080" s="164"/>
      <c r="K1080" s="223"/>
      <c r="L1080" s="234"/>
      <c r="M1080" s="202"/>
      <c r="N1080" s="250"/>
      <c r="O1080" s="203">
        <v>100000</v>
      </c>
      <c r="P1080" s="248">
        <f>O1080*1.46</f>
        <v>146000</v>
      </c>
      <c r="Q1080" s="201"/>
      <c r="R1080" s="255"/>
      <c r="S1080" s="159">
        <f t="shared" si="60"/>
        <v>146000</v>
      </c>
      <c r="T1080" s="235"/>
      <c r="U1080" s="170"/>
    </row>
    <row r="1081" spans="1:21" ht="15.75" hidden="1" outlineLevel="3">
      <c r="A1081" s="162"/>
      <c r="B1081" s="152"/>
      <c r="C1081" s="236" t="s">
        <v>484</v>
      </c>
      <c r="D1081" s="344"/>
      <c r="E1081" s="164"/>
      <c r="F1081" s="165"/>
      <c r="G1081" s="172"/>
      <c r="H1081" s="164"/>
      <c r="I1081" s="164"/>
      <c r="J1081" s="164"/>
      <c r="K1081" s="223"/>
      <c r="L1081" s="234"/>
      <c r="M1081" s="202"/>
      <c r="N1081" s="250"/>
      <c r="O1081" s="203"/>
      <c r="P1081" s="248"/>
      <c r="Q1081" s="201"/>
      <c r="R1081" s="255"/>
      <c r="S1081" s="159"/>
      <c r="T1081" s="235"/>
      <c r="U1081" s="170"/>
    </row>
    <row r="1082" spans="1:21" ht="15.75" hidden="1" outlineLevel="3">
      <c r="A1082" s="162"/>
      <c r="B1082" s="152"/>
      <c r="C1082" s="236" t="s">
        <v>479</v>
      </c>
      <c r="D1082" s="344"/>
      <c r="E1082" s="164"/>
      <c r="F1082" s="165"/>
      <c r="G1082" s="172"/>
      <c r="H1082" s="164"/>
      <c r="I1082" s="164"/>
      <c r="J1082" s="164"/>
      <c r="K1082" s="223"/>
      <c r="L1082" s="234"/>
      <c r="M1082" s="202"/>
      <c r="N1082" s="250"/>
      <c r="O1082" s="203"/>
      <c r="P1082" s="248"/>
      <c r="Q1082" s="201"/>
      <c r="R1082" s="255"/>
      <c r="S1082" s="159"/>
      <c r="T1082" s="235"/>
      <c r="U1082" s="170"/>
    </row>
    <row r="1083" spans="1:21" ht="15.75" hidden="1" outlineLevel="3">
      <c r="A1083" s="162"/>
      <c r="B1083" s="152"/>
      <c r="C1083" s="236" t="s">
        <v>485</v>
      </c>
      <c r="D1083" s="344"/>
      <c r="E1083" s="164"/>
      <c r="F1083" s="165"/>
      <c r="G1083" s="172"/>
      <c r="H1083" s="164"/>
      <c r="I1083" s="164"/>
      <c r="J1083" s="164"/>
      <c r="K1083" s="223"/>
      <c r="L1083" s="234"/>
      <c r="M1083" s="202"/>
      <c r="N1083" s="250"/>
      <c r="O1083" s="203"/>
      <c r="P1083" s="248"/>
      <c r="Q1083" s="201"/>
      <c r="R1083" s="255"/>
      <c r="S1083" s="159"/>
      <c r="T1083" s="235"/>
      <c r="U1083" s="170"/>
    </row>
    <row r="1084" spans="1:21" ht="15.75" hidden="1" outlineLevel="3">
      <c r="A1084" s="162"/>
      <c r="B1084" s="152"/>
      <c r="C1084" s="151" t="s">
        <v>505</v>
      </c>
      <c r="D1084" s="339"/>
      <c r="E1084" s="164"/>
      <c r="F1084" s="165"/>
      <c r="G1084" s="172"/>
      <c r="H1084" s="164"/>
      <c r="I1084" s="164"/>
      <c r="J1084" s="164"/>
      <c r="K1084" s="223"/>
      <c r="L1084" s="234"/>
      <c r="M1084" s="202"/>
      <c r="N1084" s="250"/>
      <c r="O1084" s="203"/>
      <c r="P1084" s="248"/>
      <c r="Q1084" s="201"/>
      <c r="R1084" s="255"/>
      <c r="S1084" s="159"/>
      <c r="T1084" s="235"/>
      <c r="U1084" s="170"/>
    </row>
    <row r="1085" spans="1:21" ht="15.75" hidden="1" outlineLevel="3">
      <c r="A1085" s="162"/>
      <c r="B1085" s="152"/>
      <c r="C1085" s="236" t="s">
        <v>487</v>
      </c>
      <c r="D1085" s="344"/>
      <c r="E1085" s="164"/>
      <c r="F1085" s="165"/>
      <c r="G1085" s="172"/>
      <c r="H1085" s="164"/>
      <c r="I1085" s="164"/>
      <c r="J1085" s="164"/>
      <c r="K1085" s="223"/>
      <c r="L1085" s="234"/>
      <c r="M1085" s="202"/>
      <c r="N1085" s="250"/>
      <c r="O1085" s="203"/>
      <c r="P1085" s="248"/>
      <c r="Q1085" s="201"/>
      <c r="R1085" s="255"/>
      <c r="S1085" s="159"/>
      <c r="T1085" s="235"/>
      <c r="U1085" s="170"/>
    </row>
    <row r="1086" spans="1:21" ht="15.75" hidden="1" outlineLevel="3">
      <c r="A1086" s="162"/>
      <c r="B1086" s="152"/>
      <c r="C1086" s="236" t="s">
        <v>479</v>
      </c>
      <c r="D1086" s="344"/>
      <c r="E1086" s="164"/>
      <c r="F1086" s="165"/>
      <c r="G1086" s="172"/>
      <c r="H1086" s="164"/>
      <c r="I1086" s="164"/>
      <c r="J1086" s="164"/>
      <c r="K1086" s="223"/>
      <c r="L1086" s="234"/>
      <c r="M1086" s="202"/>
      <c r="N1086" s="250"/>
      <c r="O1086" s="203"/>
      <c r="P1086" s="248"/>
      <c r="Q1086" s="201"/>
      <c r="R1086" s="255"/>
      <c r="S1086" s="159"/>
      <c r="T1086" s="235"/>
      <c r="U1086" s="170"/>
    </row>
    <row r="1087" spans="1:21" ht="15.75" hidden="1" outlineLevel="3">
      <c r="A1087" s="162"/>
      <c r="B1087" s="152"/>
      <c r="C1087" s="236" t="s">
        <v>488</v>
      </c>
      <c r="D1087" s="344"/>
      <c r="E1087" s="164"/>
      <c r="F1087" s="165"/>
      <c r="G1087" s="172"/>
      <c r="H1087" s="164"/>
      <c r="I1087" s="164"/>
      <c r="J1087" s="164"/>
      <c r="K1087" s="223"/>
      <c r="L1087" s="234"/>
      <c r="M1087" s="202"/>
      <c r="N1087" s="250"/>
      <c r="O1087" s="203"/>
      <c r="P1087" s="248"/>
      <c r="Q1087" s="201"/>
      <c r="R1087" s="255"/>
      <c r="S1087" s="159"/>
      <c r="T1087" s="235"/>
      <c r="U1087" s="170"/>
    </row>
    <row r="1088" spans="1:21" ht="15.75" hidden="1" outlineLevel="3">
      <c r="A1088" s="162"/>
      <c r="B1088" s="152"/>
      <c r="C1088" s="236" t="s">
        <v>489</v>
      </c>
      <c r="D1088" s="344"/>
      <c r="E1088" s="164"/>
      <c r="F1088" s="165"/>
      <c r="G1088" s="172"/>
      <c r="H1088" s="164"/>
      <c r="I1088" s="164"/>
      <c r="J1088" s="164"/>
      <c r="K1088" s="223"/>
      <c r="L1088" s="234"/>
      <c r="M1088" s="202"/>
      <c r="N1088" s="250"/>
      <c r="O1088" s="203"/>
      <c r="P1088" s="248"/>
      <c r="Q1088" s="201"/>
      <c r="R1088" s="255"/>
      <c r="S1088" s="159"/>
      <c r="T1088" s="235"/>
      <c r="U1088" s="170"/>
    </row>
    <row r="1089" spans="1:21" ht="15.75" hidden="1" outlineLevel="3">
      <c r="A1089" s="162"/>
      <c r="B1089" s="152"/>
      <c r="C1089" s="151" t="s">
        <v>506</v>
      </c>
      <c r="D1089" s="339"/>
      <c r="E1089" s="164"/>
      <c r="F1089" s="165"/>
      <c r="G1089" s="172"/>
      <c r="H1089" s="164"/>
      <c r="I1089" s="164"/>
      <c r="J1089" s="164"/>
      <c r="K1089" s="223"/>
      <c r="L1089" s="234"/>
      <c r="M1089" s="202"/>
      <c r="N1089" s="250"/>
      <c r="O1089" s="203"/>
      <c r="P1089" s="248"/>
      <c r="Q1089" s="201"/>
      <c r="R1089" s="255"/>
      <c r="S1089" s="159"/>
      <c r="T1089" s="235"/>
      <c r="U1089" s="170"/>
    </row>
    <row r="1090" spans="1:21" ht="15.75" hidden="1" outlineLevel="3">
      <c r="A1090" s="162"/>
      <c r="B1090" s="152"/>
      <c r="C1090" s="236" t="s">
        <v>491</v>
      </c>
      <c r="D1090" s="344"/>
      <c r="E1090" s="164"/>
      <c r="F1090" s="165"/>
      <c r="G1090" s="172"/>
      <c r="H1090" s="164"/>
      <c r="I1090" s="164"/>
      <c r="J1090" s="164"/>
      <c r="K1090" s="223"/>
      <c r="L1090" s="234"/>
      <c r="M1090" s="202"/>
      <c r="N1090" s="250"/>
      <c r="O1090" s="203"/>
      <c r="P1090" s="248"/>
      <c r="Q1090" s="201"/>
      <c r="R1090" s="255"/>
      <c r="S1090" s="159"/>
      <c r="T1090" s="235"/>
      <c r="U1090" s="170"/>
    </row>
    <row r="1091" spans="1:21" ht="15.75" hidden="1" outlineLevel="3">
      <c r="A1091" s="162"/>
      <c r="B1091" s="152"/>
      <c r="C1091" s="236" t="s">
        <v>492</v>
      </c>
      <c r="D1091" s="344"/>
      <c r="E1091" s="164"/>
      <c r="F1091" s="165"/>
      <c r="G1091" s="172"/>
      <c r="H1091" s="164"/>
      <c r="I1091" s="164"/>
      <c r="J1091" s="164"/>
      <c r="K1091" s="223"/>
      <c r="L1091" s="234"/>
      <c r="M1091" s="202"/>
      <c r="N1091" s="250"/>
      <c r="O1091" s="203"/>
      <c r="P1091" s="248"/>
      <c r="Q1091" s="201">
        <v>400000</v>
      </c>
      <c r="R1091" s="255">
        <f>Q1091*1.73</f>
        <v>692000</v>
      </c>
      <c r="S1091" s="159">
        <f t="shared" si="60"/>
        <v>692000</v>
      </c>
      <c r="T1091" s="235"/>
      <c r="U1091" s="170"/>
    </row>
    <row r="1092" spans="1:21" ht="15.75" hidden="1" outlineLevel="3">
      <c r="A1092" s="162"/>
      <c r="B1092" s="152"/>
      <c r="C1092" s="236" t="s">
        <v>493</v>
      </c>
      <c r="D1092" s="344"/>
      <c r="E1092" s="164"/>
      <c r="F1092" s="165"/>
      <c r="G1092" s="172"/>
      <c r="H1092" s="219">
        <f>CIP!$AS$62</f>
        <v>0</v>
      </c>
      <c r="I1092" s="219"/>
      <c r="J1092" s="164"/>
      <c r="K1092" s="223"/>
      <c r="L1092" s="234">
        <f>SUM(G1092:K1092)</f>
        <v>0</v>
      </c>
      <c r="M1092" s="202"/>
      <c r="N1092" s="250"/>
      <c r="O1092" s="203">
        <v>245000</v>
      </c>
      <c r="P1092" s="248">
        <f>O1092*1.46</f>
        <v>357700</v>
      </c>
      <c r="Q1092" s="201"/>
      <c r="R1092" s="255"/>
      <c r="S1092" s="159">
        <f t="shared" si="60"/>
        <v>357700</v>
      </c>
      <c r="T1092" s="235"/>
      <c r="U1092" s="161"/>
    </row>
    <row r="1093" spans="1:21" ht="15.75" hidden="1" outlineLevel="3">
      <c r="A1093" s="162"/>
      <c r="B1093" s="152"/>
      <c r="C1093" s="236" t="s">
        <v>494</v>
      </c>
      <c r="D1093" s="344"/>
      <c r="E1093" s="164"/>
      <c r="F1093" s="165"/>
      <c r="G1093" s="172"/>
      <c r="H1093" s="164"/>
      <c r="I1093" s="164"/>
      <c r="J1093" s="164"/>
      <c r="K1093" s="223"/>
      <c r="L1093" s="234"/>
      <c r="M1093" s="202"/>
      <c r="N1093" s="250"/>
      <c r="O1093" s="203"/>
      <c r="P1093" s="248"/>
      <c r="Q1093" s="201"/>
      <c r="R1093" s="255"/>
      <c r="S1093" s="159"/>
      <c r="T1093" s="235"/>
      <c r="U1093" s="161"/>
    </row>
    <row r="1094" spans="1:21" ht="15.75" hidden="1" outlineLevel="3">
      <c r="A1094" s="162"/>
      <c r="B1094" s="152"/>
      <c r="C1094" s="151" t="s">
        <v>507</v>
      </c>
      <c r="D1094" s="339"/>
      <c r="E1094" s="164"/>
      <c r="F1094" s="165"/>
      <c r="G1094" s="172"/>
      <c r="H1094" s="164"/>
      <c r="I1094" s="164"/>
      <c r="J1094" s="164"/>
      <c r="K1094" s="223"/>
      <c r="L1094" s="234"/>
      <c r="M1094" s="202"/>
      <c r="N1094" s="250"/>
      <c r="O1094" s="203"/>
      <c r="P1094" s="248"/>
      <c r="Q1094" s="201"/>
      <c r="R1094" s="255"/>
      <c r="S1094" s="159"/>
      <c r="T1094" s="235"/>
      <c r="U1094" s="170"/>
    </row>
    <row r="1095" spans="1:21" ht="15.75" hidden="1" outlineLevel="3">
      <c r="A1095" s="162"/>
      <c r="B1095" s="152"/>
      <c r="C1095" s="174" t="s">
        <v>496</v>
      </c>
      <c r="D1095" s="340"/>
      <c r="E1095" s="164"/>
      <c r="F1095" s="165"/>
      <c r="G1095" s="172"/>
      <c r="H1095" s="164"/>
      <c r="I1095" s="164"/>
      <c r="J1095" s="164"/>
      <c r="K1095" s="223"/>
      <c r="L1095" s="234"/>
      <c r="M1095" s="202"/>
      <c r="N1095" s="250"/>
      <c r="O1095" s="203"/>
      <c r="P1095" s="248"/>
      <c r="Q1095" s="201"/>
      <c r="R1095" s="255"/>
      <c r="S1095" s="159"/>
      <c r="T1095" s="235"/>
      <c r="U1095" s="170"/>
    </row>
    <row r="1096" spans="1:21" ht="15.75" hidden="1" outlineLevel="3">
      <c r="A1096" s="162"/>
      <c r="B1096" s="152"/>
      <c r="C1096" s="174" t="s">
        <v>497</v>
      </c>
      <c r="D1096" s="340"/>
      <c r="E1096" s="164"/>
      <c r="F1096" s="165"/>
      <c r="G1096" s="172"/>
      <c r="H1096" s="164"/>
      <c r="I1096" s="219"/>
      <c r="J1096" s="219"/>
      <c r="K1096" s="218"/>
      <c r="L1096" s="234"/>
      <c r="M1096" s="203">
        <v>100000</v>
      </c>
      <c r="N1096" s="250">
        <f>M1096*1.23</f>
        <v>123000</v>
      </c>
      <c r="O1096" s="203"/>
      <c r="P1096" s="248"/>
      <c r="Q1096" s="201"/>
      <c r="R1096" s="255"/>
      <c r="S1096" s="159">
        <f t="shared" si="60"/>
        <v>123000</v>
      </c>
      <c r="T1096" s="235"/>
      <c r="U1096" s="161"/>
    </row>
    <row r="1097" spans="1:21" ht="15.75" hidden="1" outlineLevel="3">
      <c r="A1097" s="162"/>
      <c r="B1097" s="152"/>
      <c r="C1097" s="174" t="s">
        <v>499</v>
      </c>
      <c r="D1097" s="340"/>
      <c r="E1097" s="164"/>
      <c r="F1097" s="165"/>
      <c r="G1097" s="172"/>
      <c r="H1097" s="164"/>
      <c r="I1097" s="164"/>
      <c r="J1097" s="164"/>
      <c r="K1097" s="223"/>
      <c r="L1097" s="234"/>
      <c r="M1097" s="202"/>
      <c r="N1097" s="250"/>
      <c r="O1097" s="203"/>
      <c r="P1097" s="248"/>
      <c r="Q1097" s="201"/>
      <c r="R1097" s="255"/>
      <c r="S1097" s="159"/>
      <c r="T1097" s="235"/>
      <c r="U1097" s="170"/>
    </row>
    <row r="1098" spans="1:21" ht="15.75" hidden="1" outlineLevel="3">
      <c r="A1098" s="162"/>
      <c r="B1098" s="152"/>
      <c r="C1098" s="174" t="s">
        <v>526</v>
      </c>
      <c r="D1098" s="340"/>
      <c r="E1098" s="211"/>
      <c r="F1098" s="211"/>
      <c r="G1098" s="172"/>
      <c r="H1098" s="164"/>
      <c r="I1098" s="164"/>
      <c r="J1098" s="164"/>
      <c r="K1098" s="223"/>
      <c r="L1098" s="173"/>
      <c r="M1098" s="202">
        <v>220000</v>
      </c>
      <c r="N1098" s="250">
        <f>M1098*1.23</f>
        <v>270600</v>
      </c>
      <c r="O1098" s="203"/>
      <c r="P1098" s="248"/>
      <c r="Q1098" s="201"/>
      <c r="R1098" s="255"/>
      <c r="S1098" s="159">
        <f t="shared" si="60"/>
        <v>270600</v>
      </c>
      <c r="T1098" s="235"/>
      <c r="U1098" s="161"/>
    </row>
    <row r="1099" spans="1:21" ht="15.75" hidden="1" outlineLevel="3">
      <c r="A1099" s="162"/>
      <c r="B1099" s="152"/>
      <c r="C1099" s="174" t="s">
        <v>638</v>
      </c>
      <c r="D1099" s="340"/>
      <c r="E1099" s="211"/>
      <c r="F1099" s="211"/>
      <c r="G1099" s="172"/>
      <c r="H1099" s="164"/>
      <c r="I1099" s="164"/>
      <c r="J1099" s="164"/>
      <c r="K1099" s="223"/>
      <c r="L1099" s="176"/>
      <c r="M1099" s="202"/>
      <c r="N1099" s="250"/>
      <c r="O1099" s="202">
        <v>750000</v>
      </c>
      <c r="P1099" s="248">
        <f>O1099*1.46</f>
        <v>1095000</v>
      </c>
      <c r="Q1099" s="201">
        <v>15750000</v>
      </c>
      <c r="R1099" s="255">
        <f>Q1099*1.73</f>
        <v>27247500</v>
      </c>
      <c r="S1099" s="159">
        <f t="shared" si="60"/>
        <v>28342500</v>
      </c>
      <c r="T1099" s="235"/>
      <c r="U1099" s="161"/>
    </row>
    <row r="1100" spans="1:21" s="135" customFormat="1" ht="15.75" hidden="1" outlineLevel="2" collapsed="1">
      <c r="A1100" s="229"/>
      <c r="B1100" s="289"/>
      <c r="C1100" s="151" t="s">
        <v>637</v>
      </c>
      <c r="D1100" s="339"/>
      <c r="E1100" s="244"/>
      <c r="F1100" s="248"/>
      <c r="G1100" s="249"/>
      <c r="H1100" s="244">
        <f>SUM(H1073:H1098)</f>
        <v>0</v>
      </c>
      <c r="I1100" s="244"/>
      <c r="J1100" s="244"/>
      <c r="K1100" s="255"/>
      <c r="L1100" s="226">
        <f>SUM(L1074:L1098)</f>
        <v>0</v>
      </c>
      <c r="M1100" s="202">
        <f>SUM(M1074:M1099)</f>
        <v>320000</v>
      </c>
      <c r="N1100" s="244">
        <f>M1100*1.23</f>
        <v>393600</v>
      </c>
      <c r="O1100" s="203">
        <f>SUM(O1073:O1099)</f>
        <v>1595000</v>
      </c>
      <c r="P1100" s="244">
        <f>O1100*1.46</f>
        <v>2328700</v>
      </c>
      <c r="Q1100" s="201">
        <f>SUM(Q1073:Q1099)</f>
        <v>16150000</v>
      </c>
      <c r="R1100" s="255">
        <f>Q1100*1.73</f>
        <v>27939500</v>
      </c>
      <c r="S1100" s="159">
        <f t="shared" si="60"/>
        <v>30661800</v>
      </c>
      <c r="T1100" s="235"/>
      <c r="U1100" s="559" t="s">
        <v>639</v>
      </c>
    </row>
    <row r="1101" spans="1:21" s="233" customFormat="1" hidden="1" outlineLevel="3">
      <c r="A1101" s="232"/>
      <c r="B1101" s="151" t="s">
        <v>640</v>
      </c>
      <c r="C1101" s="171"/>
      <c r="D1101" s="343"/>
      <c r="E1101" s="157"/>
      <c r="F1101" s="158"/>
      <c r="G1101" s="197"/>
      <c r="H1101" s="157"/>
      <c r="I1101" s="157"/>
      <c r="J1101" s="157"/>
      <c r="K1101" s="215"/>
      <c r="L1101" s="155"/>
      <c r="M1101" s="156"/>
      <c r="N1101" s="250"/>
      <c r="O1101" s="157"/>
      <c r="P1101" s="248"/>
      <c r="Q1101" s="158"/>
      <c r="R1101" s="255"/>
      <c r="S1101" s="245"/>
      <c r="T1101" s="246"/>
      <c r="U1101" s="170"/>
    </row>
    <row r="1102" spans="1:21" ht="15.75" hidden="1" outlineLevel="3">
      <c r="A1102" s="162"/>
      <c r="B1102" s="152"/>
      <c r="C1102" s="151" t="s">
        <v>503</v>
      </c>
      <c r="D1102" s="339"/>
      <c r="E1102" s="164"/>
      <c r="F1102" s="165"/>
      <c r="G1102" s="172"/>
      <c r="H1102" s="164"/>
      <c r="I1102" s="164"/>
      <c r="J1102" s="164"/>
      <c r="K1102" s="223"/>
      <c r="L1102" s="234"/>
      <c r="M1102" s="202"/>
      <c r="N1102" s="250"/>
      <c r="O1102" s="203"/>
      <c r="P1102" s="248"/>
      <c r="Q1102" s="201"/>
      <c r="R1102" s="255"/>
      <c r="S1102" s="226"/>
      <c r="T1102" s="235"/>
      <c r="U1102" s="170"/>
    </row>
    <row r="1103" spans="1:21" ht="15.75" hidden="1" outlineLevel="3">
      <c r="A1103" s="162"/>
      <c r="B1103" s="152"/>
      <c r="C1103" s="236" t="s">
        <v>520</v>
      </c>
      <c r="D1103" s="344"/>
      <c r="E1103" s="164"/>
      <c r="F1103" s="165"/>
      <c r="G1103" s="172"/>
      <c r="H1103" s="164"/>
      <c r="I1103" s="164"/>
      <c r="J1103" s="164"/>
      <c r="K1103" s="223"/>
      <c r="L1103" s="234"/>
      <c r="M1103" s="202"/>
      <c r="N1103" s="250"/>
      <c r="O1103" s="203"/>
      <c r="P1103" s="248"/>
      <c r="Q1103" s="201"/>
      <c r="R1103" s="255"/>
      <c r="S1103" s="226"/>
      <c r="T1103" s="235"/>
      <c r="U1103" s="170"/>
    </row>
    <row r="1104" spans="1:21" ht="15.75" hidden="1" outlineLevel="3">
      <c r="A1104" s="162"/>
      <c r="B1104" s="152"/>
      <c r="C1104" s="236" t="s">
        <v>478</v>
      </c>
      <c r="D1104" s="344"/>
      <c r="E1104" s="164"/>
      <c r="F1104" s="165"/>
      <c r="G1104" s="172"/>
      <c r="H1104" s="164"/>
      <c r="I1104" s="164"/>
      <c r="J1104" s="164"/>
      <c r="K1104" s="223"/>
      <c r="L1104" s="234"/>
      <c r="M1104" s="202"/>
      <c r="N1104" s="250"/>
      <c r="O1104" s="203"/>
      <c r="P1104" s="248"/>
      <c r="Q1104" s="201"/>
      <c r="R1104" s="255"/>
      <c r="S1104" s="226"/>
      <c r="T1104" s="235"/>
      <c r="U1104" s="170"/>
    </row>
    <row r="1105" spans="1:21" ht="15.75" hidden="1" outlineLevel="3">
      <c r="A1105" s="162"/>
      <c r="B1105" s="152"/>
      <c r="C1105" s="236" t="s">
        <v>479</v>
      </c>
      <c r="D1105" s="344"/>
      <c r="E1105" s="164"/>
      <c r="F1105" s="165"/>
      <c r="G1105" s="172"/>
      <c r="H1105" s="164"/>
      <c r="I1105" s="164"/>
      <c r="J1105" s="164"/>
      <c r="K1105" s="223"/>
      <c r="L1105" s="220"/>
      <c r="M1105" s="204"/>
      <c r="N1105" s="250"/>
      <c r="O1105" s="203"/>
      <c r="P1105" s="248"/>
      <c r="Q1105" s="201">
        <v>164000</v>
      </c>
      <c r="R1105" s="255">
        <f>Q1105*1.73</f>
        <v>283720</v>
      </c>
      <c r="S1105" s="159">
        <f t="shared" ref="S1105" si="61">SUM(L1105,N1105,P1105,R1105)</f>
        <v>283720</v>
      </c>
      <c r="T1105" s="235"/>
      <c r="U1105" s="170"/>
    </row>
    <row r="1106" spans="1:21" ht="15.75" hidden="1" outlineLevel="3">
      <c r="A1106" s="162"/>
      <c r="B1106" s="152"/>
      <c r="C1106" s="236" t="s">
        <v>480</v>
      </c>
      <c r="D1106" s="344"/>
      <c r="E1106" s="164"/>
      <c r="F1106" s="165"/>
      <c r="G1106" s="172"/>
      <c r="H1106" s="164"/>
      <c r="I1106" s="164"/>
      <c r="J1106" s="164"/>
      <c r="K1106" s="223"/>
      <c r="L1106" s="234"/>
      <c r="M1106" s="202"/>
      <c r="N1106" s="250"/>
      <c r="O1106" s="203"/>
      <c r="P1106" s="248"/>
      <c r="Q1106" s="201"/>
      <c r="R1106" s="255"/>
      <c r="S1106" s="226"/>
      <c r="T1106" s="235"/>
      <c r="U1106" s="170"/>
    </row>
    <row r="1107" spans="1:21" ht="15.75" hidden="1" outlineLevel="3">
      <c r="A1107" s="162"/>
      <c r="B1107" s="152"/>
      <c r="C1107" s="236" t="s">
        <v>512</v>
      </c>
      <c r="D1107" s="344"/>
      <c r="E1107" s="164"/>
      <c r="F1107" s="165"/>
      <c r="G1107" s="172"/>
      <c r="H1107" s="164"/>
      <c r="I1107" s="164"/>
      <c r="J1107" s="164"/>
      <c r="K1107" s="223"/>
      <c r="L1107" s="234"/>
      <c r="M1107" s="202"/>
      <c r="N1107" s="250"/>
      <c r="O1107" s="203"/>
      <c r="P1107" s="248"/>
      <c r="Q1107" s="201"/>
      <c r="R1107" s="255"/>
      <c r="S1107" s="226"/>
      <c r="T1107" s="235"/>
      <c r="U1107" s="170"/>
    </row>
    <row r="1108" spans="1:21" ht="15.75" hidden="1" outlineLevel="3">
      <c r="A1108" s="162"/>
      <c r="B1108" s="152"/>
      <c r="C1108" s="151" t="s">
        <v>504</v>
      </c>
      <c r="D1108" s="339"/>
      <c r="E1108" s="164"/>
      <c r="F1108" s="165"/>
      <c r="G1108" s="172"/>
      <c r="H1108" s="164"/>
      <c r="I1108" s="164"/>
      <c r="J1108" s="164"/>
      <c r="K1108" s="223"/>
      <c r="L1108" s="234"/>
      <c r="M1108" s="202"/>
      <c r="N1108" s="250"/>
      <c r="O1108" s="203"/>
      <c r="P1108" s="248"/>
      <c r="Q1108" s="201"/>
      <c r="R1108" s="255"/>
      <c r="S1108" s="226"/>
      <c r="T1108" s="235"/>
      <c r="U1108" s="170"/>
    </row>
    <row r="1109" spans="1:21" ht="15.75" hidden="1" outlineLevel="3">
      <c r="A1109" s="162"/>
      <c r="B1109" s="152"/>
      <c r="C1109" s="236" t="s">
        <v>483</v>
      </c>
      <c r="D1109" s="344"/>
      <c r="E1109" s="164"/>
      <c r="F1109" s="165"/>
      <c r="G1109" s="172"/>
      <c r="H1109" s="164"/>
      <c r="I1109" s="164"/>
      <c r="J1109" s="164"/>
      <c r="K1109" s="223"/>
      <c r="L1109" s="234"/>
      <c r="M1109" s="202"/>
      <c r="N1109" s="250"/>
      <c r="O1109" s="203"/>
      <c r="P1109" s="248"/>
      <c r="Q1109" s="201"/>
      <c r="R1109" s="255"/>
      <c r="S1109" s="226"/>
      <c r="T1109" s="235"/>
      <c r="U1109" s="170"/>
    </row>
    <row r="1110" spans="1:21" ht="15.75" hidden="1" outlineLevel="3">
      <c r="A1110" s="162"/>
      <c r="B1110" s="152"/>
      <c r="C1110" s="236" t="s">
        <v>484</v>
      </c>
      <c r="D1110" s="344"/>
      <c r="E1110" s="164"/>
      <c r="F1110" s="165"/>
      <c r="G1110" s="172"/>
      <c r="H1110" s="164"/>
      <c r="I1110" s="164"/>
      <c r="J1110" s="164"/>
      <c r="K1110" s="223"/>
      <c r="L1110" s="234"/>
      <c r="M1110" s="202"/>
      <c r="N1110" s="250"/>
      <c r="O1110" s="203"/>
      <c r="P1110" s="248"/>
      <c r="Q1110" s="201">
        <v>207000</v>
      </c>
      <c r="R1110" s="255">
        <f>Q1110*1.73</f>
        <v>358110</v>
      </c>
      <c r="S1110" s="159">
        <f t="shared" ref="S1110:S1129" si="62">SUM(L1110,N1110,P1110,R1110)</f>
        <v>358110</v>
      </c>
      <c r="T1110" s="235"/>
      <c r="U1110" s="170"/>
    </row>
    <row r="1111" spans="1:21" ht="15.75" hidden="1" outlineLevel="3">
      <c r="A1111" s="162"/>
      <c r="B1111" s="152"/>
      <c r="C1111" s="236" t="s">
        <v>479</v>
      </c>
      <c r="D1111" s="344"/>
      <c r="E1111" s="164"/>
      <c r="F1111" s="165"/>
      <c r="G1111" s="172"/>
      <c r="H1111" s="164"/>
      <c r="I1111" s="164"/>
      <c r="J1111" s="164"/>
      <c r="K1111" s="223"/>
      <c r="L1111" s="234"/>
      <c r="M1111" s="202"/>
      <c r="N1111" s="250"/>
      <c r="O1111" s="203"/>
      <c r="P1111" s="248"/>
      <c r="Q1111" s="201"/>
      <c r="R1111" s="255"/>
      <c r="S1111" s="159"/>
      <c r="T1111" s="235"/>
      <c r="U1111" s="170"/>
    </row>
    <row r="1112" spans="1:21" ht="15.75" hidden="1" outlineLevel="3">
      <c r="A1112" s="162"/>
      <c r="B1112" s="152"/>
      <c r="C1112" s="236" t="s">
        <v>485</v>
      </c>
      <c r="D1112" s="344"/>
      <c r="E1112" s="164"/>
      <c r="F1112" s="165"/>
      <c r="G1112" s="172"/>
      <c r="H1112" s="164"/>
      <c r="I1112" s="164"/>
      <c r="J1112" s="164"/>
      <c r="K1112" s="223"/>
      <c r="L1112" s="234"/>
      <c r="M1112" s="202"/>
      <c r="N1112" s="250"/>
      <c r="O1112" s="203"/>
      <c r="P1112" s="248"/>
      <c r="Q1112" s="201"/>
      <c r="R1112" s="255"/>
      <c r="S1112" s="159"/>
      <c r="T1112" s="235"/>
      <c r="U1112" s="170"/>
    </row>
    <row r="1113" spans="1:21" ht="15.75" hidden="1" outlineLevel="3">
      <c r="A1113" s="162"/>
      <c r="B1113" s="152"/>
      <c r="C1113" s="151" t="s">
        <v>505</v>
      </c>
      <c r="D1113" s="339"/>
      <c r="E1113" s="164"/>
      <c r="F1113" s="165"/>
      <c r="G1113" s="172"/>
      <c r="H1113" s="164"/>
      <c r="I1113" s="164"/>
      <c r="J1113" s="164"/>
      <c r="K1113" s="223"/>
      <c r="L1113" s="234"/>
      <c r="M1113" s="202"/>
      <c r="N1113" s="250"/>
      <c r="O1113" s="203"/>
      <c r="P1113" s="248"/>
      <c r="Q1113" s="201"/>
      <c r="R1113" s="255"/>
      <c r="S1113" s="159"/>
      <c r="T1113" s="235"/>
      <c r="U1113" s="170"/>
    </row>
    <row r="1114" spans="1:21" ht="15.75" hidden="1" outlineLevel="3">
      <c r="A1114" s="162"/>
      <c r="B1114" s="152"/>
      <c r="C1114" s="236" t="s">
        <v>487</v>
      </c>
      <c r="D1114" s="344"/>
      <c r="E1114" s="164"/>
      <c r="F1114" s="165"/>
      <c r="G1114" s="172"/>
      <c r="H1114" s="164"/>
      <c r="I1114" s="164"/>
      <c r="J1114" s="164"/>
      <c r="K1114" s="223"/>
      <c r="L1114" s="234"/>
      <c r="M1114" s="202"/>
      <c r="N1114" s="250"/>
      <c r="O1114" s="203"/>
      <c r="P1114" s="248"/>
      <c r="Q1114" s="201"/>
      <c r="R1114" s="255"/>
      <c r="S1114" s="159"/>
      <c r="T1114" s="235"/>
      <c r="U1114" s="170"/>
    </row>
    <row r="1115" spans="1:21" ht="15.75" hidden="1" outlineLevel="3">
      <c r="A1115" s="162"/>
      <c r="B1115" s="152"/>
      <c r="C1115" s="236" t="s">
        <v>479</v>
      </c>
      <c r="D1115" s="344"/>
      <c r="E1115" s="164"/>
      <c r="F1115" s="165"/>
      <c r="G1115" s="172"/>
      <c r="H1115" s="164"/>
      <c r="I1115" s="164"/>
      <c r="J1115" s="164"/>
      <c r="K1115" s="223"/>
      <c r="L1115" s="234"/>
      <c r="M1115" s="202"/>
      <c r="N1115" s="250"/>
      <c r="O1115" s="203"/>
      <c r="P1115" s="248"/>
      <c r="Q1115" s="201"/>
      <c r="R1115" s="255"/>
      <c r="S1115" s="159"/>
      <c r="T1115" s="235"/>
      <c r="U1115" s="170"/>
    </row>
    <row r="1116" spans="1:21" ht="15.75" hidden="1" outlineLevel="3">
      <c r="A1116" s="162"/>
      <c r="B1116" s="152"/>
      <c r="C1116" s="236" t="s">
        <v>488</v>
      </c>
      <c r="D1116" s="344"/>
      <c r="E1116" s="164"/>
      <c r="F1116" s="165"/>
      <c r="G1116" s="172"/>
      <c r="H1116" s="164"/>
      <c r="I1116" s="164"/>
      <c r="J1116" s="164"/>
      <c r="K1116" s="223"/>
      <c r="L1116" s="234"/>
      <c r="M1116" s="202"/>
      <c r="N1116" s="250"/>
      <c r="O1116" s="203"/>
      <c r="P1116" s="248"/>
      <c r="Q1116" s="201"/>
      <c r="R1116" s="255"/>
      <c r="S1116" s="159"/>
      <c r="T1116" s="235"/>
      <c r="U1116" s="170"/>
    </row>
    <row r="1117" spans="1:21" ht="15.75" hidden="1" outlineLevel="3">
      <c r="A1117" s="162"/>
      <c r="B1117" s="152"/>
      <c r="C1117" s="236" t="s">
        <v>489</v>
      </c>
      <c r="D1117" s="344"/>
      <c r="E1117" s="164"/>
      <c r="F1117" s="165"/>
      <c r="G1117" s="172"/>
      <c r="H1117" s="164"/>
      <c r="I1117" s="164"/>
      <c r="J1117" s="164"/>
      <c r="K1117" s="223"/>
      <c r="L1117" s="234"/>
      <c r="M1117" s="202"/>
      <c r="N1117" s="250"/>
      <c r="O1117" s="203"/>
      <c r="P1117" s="248"/>
      <c r="Q1117" s="201">
        <v>110000</v>
      </c>
      <c r="R1117" s="255">
        <f>Q1117*1.73</f>
        <v>190300</v>
      </c>
      <c r="S1117" s="159">
        <f t="shared" si="62"/>
        <v>190300</v>
      </c>
      <c r="T1117" s="235"/>
      <c r="U1117" s="170"/>
    </row>
    <row r="1118" spans="1:21" ht="15.75" hidden="1" outlineLevel="3">
      <c r="A1118" s="162"/>
      <c r="B1118" s="152"/>
      <c r="C1118" s="151" t="s">
        <v>506</v>
      </c>
      <c r="D1118" s="339"/>
      <c r="E1118" s="164"/>
      <c r="F1118" s="165"/>
      <c r="G1118" s="172"/>
      <c r="H1118" s="164"/>
      <c r="I1118" s="164"/>
      <c r="J1118" s="164"/>
      <c r="K1118" s="223"/>
      <c r="L1118" s="234"/>
      <c r="M1118" s="202"/>
      <c r="N1118" s="250"/>
      <c r="O1118" s="203"/>
      <c r="P1118" s="248"/>
      <c r="Q1118" s="201"/>
      <c r="R1118" s="255"/>
      <c r="S1118" s="159"/>
      <c r="T1118" s="235"/>
      <c r="U1118" s="170"/>
    </row>
    <row r="1119" spans="1:21" ht="15.75" hidden="1" outlineLevel="3">
      <c r="A1119" s="162"/>
      <c r="B1119" s="152"/>
      <c r="C1119" s="236" t="s">
        <v>491</v>
      </c>
      <c r="D1119" s="344"/>
      <c r="E1119" s="164"/>
      <c r="F1119" s="165"/>
      <c r="G1119" s="172"/>
      <c r="H1119" s="164"/>
      <c r="I1119" s="164"/>
      <c r="J1119" s="164"/>
      <c r="K1119" s="223"/>
      <c r="L1119" s="234"/>
      <c r="M1119" s="202"/>
      <c r="N1119" s="250"/>
      <c r="O1119" s="203"/>
      <c r="P1119" s="248"/>
      <c r="Q1119" s="201"/>
      <c r="R1119" s="255"/>
      <c r="S1119" s="159"/>
      <c r="T1119" s="235"/>
      <c r="U1119" s="170"/>
    </row>
    <row r="1120" spans="1:21" ht="15.75" hidden="1" outlineLevel="3">
      <c r="A1120" s="162"/>
      <c r="B1120" s="152"/>
      <c r="C1120" s="236" t="s">
        <v>492</v>
      </c>
      <c r="D1120" s="344"/>
      <c r="E1120" s="164"/>
      <c r="F1120" s="165"/>
      <c r="G1120" s="172"/>
      <c r="H1120" s="164"/>
      <c r="I1120" s="164"/>
      <c r="J1120" s="164"/>
      <c r="K1120" s="223"/>
      <c r="L1120" s="234"/>
      <c r="M1120" s="202"/>
      <c r="N1120" s="250"/>
      <c r="O1120" s="203"/>
      <c r="P1120" s="248"/>
      <c r="Q1120" s="201">
        <v>140000</v>
      </c>
      <c r="R1120" s="255">
        <f t="shared" ref="R1120:R1121" si="63">Q1120*1.73</f>
        <v>242200</v>
      </c>
      <c r="S1120" s="159">
        <f t="shared" si="62"/>
        <v>242200</v>
      </c>
      <c r="T1120" s="235"/>
      <c r="U1120" s="170"/>
    </row>
    <row r="1121" spans="1:21" ht="15.75" hidden="1" outlineLevel="3">
      <c r="A1121" s="162"/>
      <c r="B1121" s="152"/>
      <c r="C1121" s="236" t="s">
        <v>493</v>
      </c>
      <c r="D1121" s="344"/>
      <c r="E1121" s="164"/>
      <c r="F1121" s="165"/>
      <c r="G1121" s="172"/>
      <c r="H1121" s="164"/>
      <c r="I1121" s="164"/>
      <c r="J1121" s="164"/>
      <c r="K1121" s="223"/>
      <c r="L1121" s="234"/>
      <c r="M1121" s="202"/>
      <c r="N1121" s="250"/>
      <c r="O1121" s="203"/>
      <c r="P1121" s="248"/>
      <c r="Q1121" s="201">
        <v>193000</v>
      </c>
      <c r="R1121" s="255">
        <f t="shared" si="63"/>
        <v>333890</v>
      </c>
      <c r="S1121" s="159">
        <f t="shared" si="62"/>
        <v>333890</v>
      </c>
      <c r="T1121" s="235"/>
      <c r="U1121" s="170"/>
    </row>
    <row r="1122" spans="1:21" ht="15.75" hidden="1" outlineLevel="3">
      <c r="A1122" s="162"/>
      <c r="B1122" s="152"/>
      <c r="C1122" s="236" t="s">
        <v>494</v>
      </c>
      <c r="D1122" s="344"/>
      <c r="E1122" s="164"/>
      <c r="F1122" s="165"/>
      <c r="G1122" s="172"/>
      <c r="H1122" s="164"/>
      <c r="I1122" s="164"/>
      <c r="J1122" s="164"/>
      <c r="K1122" s="223"/>
      <c r="L1122" s="234"/>
      <c r="M1122" s="202"/>
      <c r="N1122" s="250"/>
      <c r="O1122" s="203"/>
      <c r="P1122" s="248"/>
      <c r="Q1122" s="201"/>
      <c r="R1122" s="255"/>
      <c r="S1122" s="159"/>
      <c r="T1122" s="235"/>
      <c r="U1122" s="161"/>
    </row>
    <row r="1123" spans="1:21" ht="15.75" hidden="1" outlineLevel="3">
      <c r="A1123" s="162"/>
      <c r="B1123" s="152"/>
      <c r="C1123" s="151" t="s">
        <v>507</v>
      </c>
      <c r="D1123" s="339"/>
      <c r="E1123" s="164"/>
      <c r="F1123" s="165"/>
      <c r="G1123" s="172"/>
      <c r="H1123" s="164"/>
      <c r="I1123" s="164"/>
      <c r="J1123" s="164"/>
      <c r="K1123" s="223"/>
      <c r="L1123" s="234"/>
      <c r="M1123" s="202"/>
      <c r="N1123" s="250"/>
      <c r="O1123" s="203"/>
      <c r="P1123" s="248"/>
      <c r="Q1123" s="201"/>
      <c r="R1123" s="255"/>
      <c r="S1123" s="159"/>
      <c r="T1123" s="235"/>
      <c r="U1123" s="170"/>
    </row>
    <row r="1124" spans="1:21" ht="15.75" hidden="1" outlineLevel="3">
      <c r="A1124" s="162"/>
      <c r="B1124" s="152"/>
      <c r="C1124" s="174" t="s">
        <v>496</v>
      </c>
      <c r="D1124" s="340"/>
      <c r="E1124" s="164"/>
      <c r="F1124" s="165"/>
      <c r="G1124" s="172"/>
      <c r="H1124" s="164"/>
      <c r="I1124" s="164"/>
      <c r="J1124" s="164"/>
      <c r="K1124" s="223"/>
      <c r="L1124" s="234"/>
      <c r="M1124" s="202"/>
      <c r="N1124" s="250"/>
      <c r="O1124" s="203"/>
      <c r="P1124" s="248"/>
      <c r="Q1124" s="201"/>
      <c r="R1124" s="255"/>
      <c r="S1124" s="159"/>
      <c r="T1124" s="235"/>
      <c r="U1124" s="170"/>
    </row>
    <row r="1125" spans="1:21" ht="15.75" hidden="1" outlineLevel="3">
      <c r="A1125" s="162"/>
      <c r="B1125" s="152"/>
      <c r="C1125" s="174" t="s">
        <v>497</v>
      </c>
      <c r="D1125" s="340"/>
      <c r="E1125" s="164"/>
      <c r="F1125" s="165"/>
      <c r="G1125" s="172"/>
      <c r="H1125" s="164"/>
      <c r="I1125" s="164"/>
      <c r="J1125" s="164"/>
      <c r="K1125" s="223"/>
      <c r="L1125" s="234"/>
      <c r="M1125" s="202"/>
      <c r="N1125" s="250"/>
      <c r="O1125" s="203"/>
      <c r="P1125" s="248"/>
      <c r="Q1125" s="201"/>
      <c r="R1125" s="255"/>
      <c r="S1125" s="159"/>
      <c r="T1125" s="235"/>
      <c r="U1125" s="170"/>
    </row>
    <row r="1126" spans="1:21" ht="15.75" hidden="1" outlineLevel="3">
      <c r="A1126" s="162"/>
      <c r="B1126" s="152"/>
      <c r="C1126" s="174" t="s">
        <v>499</v>
      </c>
      <c r="D1126" s="340"/>
      <c r="E1126" s="164"/>
      <c r="F1126" s="165"/>
      <c r="G1126" s="172"/>
      <c r="H1126" s="164"/>
      <c r="I1126" s="164"/>
      <c r="J1126" s="164"/>
      <c r="K1126" s="223"/>
      <c r="L1126" s="234"/>
      <c r="M1126" s="202"/>
      <c r="N1126" s="250"/>
      <c r="O1126" s="203"/>
      <c r="P1126" s="248"/>
      <c r="Q1126" s="201"/>
      <c r="R1126" s="255"/>
      <c r="S1126" s="159"/>
      <c r="T1126" s="235"/>
      <c r="U1126" s="170"/>
    </row>
    <row r="1127" spans="1:21" ht="15.75" hidden="1" outlineLevel="3">
      <c r="A1127" s="162"/>
      <c r="B1127" s="152"/>
      <c r="C1127" s="174" t="s">
        <v>526</v>
      </c>
      <c r="D1127" s="340"/>
      <c r="E1127" s="164"/>
      <c r="F1127" s="165"/>
      <c r="G1127" s="172"/>
      <c r="H1127" s="164"/>
      <c r="I1127" s="164"/>
      <c r="J1127" s="164"/>
      <c r="K1127" s="223"/>
      <c r="L1127" s="234"/>
      <c r="M1127" s="202"/>
      <c r="N1127" s="250"/>
      <c r="O1127" s="203"/>
      <c r="P1127" s="248"/>
      <c r="Q1127" s="201">
        <v>80000</v>
      </c>
      <c r="R1127" s="255">
        <f t="shared" ref="R1127:R1129" si="64">Q1127*1.73</f>
        <v>138400</v>
      </c>
      <c r="S1127" s="159">
        <f t="shared" si="62"/>
        <v>138400</v>
      </c>
      <c r="T1127" s="235"/>
      <c r="U1127" s="161"/>
    </row>
    <row r="1128" spans="1:21" ht="15.75" hidden="1" outlineLevel="3">
      <c r="A1128" s="162"/>
      <c r="B1128" s="152"/>
      <c r="C1128" s="174" t="s">
        <v>641</v>
      </c>
      <c r="D1128" s="340"/>
      <c r="E1128" s="164"/>
      <c r="F1128" s="165"/>
      <c r="G1128" s="172"/>
      <c r="H1128" s="164"/>
      <c r="I1128" s="164"/>
      <c r="J1128" s="164"/>
      <c r="K1128" s="223"/>
      <c r="L1128" s="234"/>
      <c r="M1128" s="202"/>
      <c r="N1128" s="250"/>
      <c r="O1128" s="203"/>
      <c r="P1128" s="248"/>
      <c r="Q1128" s="201">
        <v>75000</v>
      </c>
      <c r="R1128" s="255">
        <f t="shared" si="64"/>
        <v>129750</v>
      </c>
      <c r="S1128" s="159">
        <f t="shared" si="62"/>
        <v>129750</v>
      </c>
      <c r="T1128" s="235"/>
      <c r="U1128" s="170" t="s">
        <v>642</v>
      </c>
    </row>
    <row r="1129" spans="1:21" s="135" customFormat="1" ht="15.75" hidden="1" outlineLevel="2" collapsed="1">
      <c r="A1129" s="229"/>
      <c r="B1129" s="289"/>
      <c r="C1129" s="151" t="s">
        <v>640</v>
      </c>
      <c r="D1129" s="339"/>
      <c r="E1129" s="244"/>
      <c r="F1129" s="248"/>
      <c r="G1129" s="249"/>
      <c r="H1129" s="244"/>
      <c r="I1129" s="244"/>
      <c r="J1129" s="244"/>
      <c r="K1129" s="523"/>
      <c r="L1129" s="226"/>
      <c r="M1129" s="202"/>
      <c r="N1129" s="251"/>
      <c r="O1129" s="203"/>
      <c r="P1129" s="251"/>
      <c r="Q1129" s="201">
        <f>SUM(Q1104:Q1128)</f>
        <v>969000</v>
      </c>
      <c r="R1129" s="255">
        <f t="shared" si="64"/>
        <v>1676370</v>
      </c>
      <c r="S1129" s="159">
        <f t="shared" si="62"/>
        <v>1676370</v>
      </c>
      <c r="T1129" s="235"/>
      <c r="U1129" s="170" t="s">
        <v>643</v>
      </c>
    </row>
    <row r="1130" spans="1:21" s="233" customFormat="1" hidden="1" outlineLevel="3">
      <c r="A1130" s="232"/>
      <c r="B1130" s="151" t="s">
        <v>644</v>
      </c>
      <c r="C1130" s="171"/>
      <c r="D1130" s="343"/>
      <c r="E1130" s="157"/>
      <c r="F1130" s="158"/>
      <c r="G1130" s="197"/>
      <c r="H1130" s="157"/>
      <c r="I1130" s="157"/>
      <c r="J1130" s="157"/>
      <c r="K1130" s="222"/>
      <c r="L1130" s="167"/>
      <c r="M1130" s="202"/>
      <c r="N1130" s="525"/>
      <c r="O1130" s="203"/>
      <c r="P1130" s="252"/>
      <c r="Q1130" s="201"/>
      <c r="R1130" s="255"/>
      <c r="S1130" s="245"/>
      <c r="T1130" s="246"/>
      <c r="U1130" s="170"/>
    </row>
    <row r="1131" spans="1:21" ht="15.75" hidden="1" outlineLevel="3">
      <c r="A1131" s="162"/>
      <c r="B1131" s="152"/>
      <c r="C1131" s="151" t="s">
        <v>503</v>
      </c>
      <c r="D1131" s="339"/>
      <c r="E1131" s="164"/>
      <c r="F1131" s="165"/>
      <c r="G1131" s="172"/>
      <c r="H1131" s="164"/>
      <c r="I1131" s="164"/>
      <c r="J1131" s="164"/>
      <c r="K1131" s="218"/>
      <c r="L1131" s="234"/>
      <c r="M1131" s="202"/>
      <c r="N1131" s="525"/>
      <c r="O1131" s="203"/>
      <c r="P1131" s="252"/>
      <c r="Q1131" s="201"/>
      <c r="R1131" s="255"/>
      <c r="S1131" s="226"/>
      <c r="T1131" s="235"/>
      <c r="U1131" s="170"/>
    </row>
    <row r="1132" spans="1:21" ht="15.75" hidden="1" outlineLevel="3">
      <c r="A1132" s="162"/>
      <c r="B1132" s="152"/>
      <c r="C1132" s="236" t="s">
        <v>520</v>
      </c>
      <c r="D1132" s="344"/>
      <c r="E1132" s="164"/>
      <c r="F1132" s="165"/>
      <c r="G1132" s="172"/>
      <c r="H1132" s="164"/>
      <c r="I1132" s="164"/>
      <c r="J1132" s="164"/>
      <c r="K1132" s="218"/>
      <c r="L1132" s="234"/>
      <c r="M1132" s="238">
        <v>170000</v>
      </c>
      <c r="N1132" s="525">
        <f>M1132*1.23</f>
        <v>209100</v>
      </c>
      <c r="O1132" s="528"/>
      <c r="P1132" s="252"/>
      <c r="Q1132" s="201"/>
      <c r="R1132" s="255"/>
      <c r="S1132" s="159">
        <f t="shared" ref="S1132" si="65">SUM(L1132,N1132,P1132,R1132)</f>
        <v>209100</v>
      </c>
      <c r="T1132" s="235"/>
      <c r="U1132" s="170"/>
    </row>
    <row r="1133" spans="1:21" ht="15.75" hidden="1" outlineLevel="3">
      <c r="A1133" s="162"/>
      <c r="B1133" s="152"/>
      <c r="C1133" s="236" t="s">
        <v>478</v>
      </c>
      <c r="D1133" s="344"/>
      <c r="E1133" s="164"/>
      <c r="F1133" s="165"/>
      <c r="G1133" s="172"/>
      <c r="H1133" s="164"/>
      <c r="I1133" s="164"/>
      <c r="J1133" s="164"/>
      <c r="K1133" s="218"/>
      <c r="L1133" s="234"/>
      <c r="M1133" s="528"/>
      <c r="N1133" s="525"/>
      <c r="O1133" s="203"/>
      <c r="P1133" s="252"/>
      <c r="Q1133" s="201"/>
      <c r="R1133" s="255"/>
      <c r="S1133" s="226"/>
      <c r="T1133" s="235"/>
      <c r="U1133" s="170"/>
    </row>
    <row r="1134" spans="1:21" ht="15.75" hidden="1" outlineLevel="3">
      <c r="A1134" s="162"/>
      <c r="B1134" s="152"/>
      <c r="C1134" s="236" t="s">
        <v>479</v>
      </c>
      <c r="D1134" s="344"/>
      <c r="E1134" s="164"/>
      <c r="F1134" s="165"/>
      <c r="G1134" s="172"/>
      <c r="H1134" s="164"/>
      <c r="I1134" s="164"/>
      <c r="J1134" s="164"/>
      <c r="K1134" s="218"/>
      <c r="L1134" s="220"/>
      <c r="M1134" s="528"/>
      <c r="N1134" s="525"/>
      <c r="O1134" s="241"/>
      <c r="P1134" s="252"/>
      <c r="Q1134" s="201"/>
      <c r="R1134" s="255"/>
      <c r="S1134" s="226"/>
      <c r="T1134" s="235"/>
      <c r="U1134" s="170"/>
    </row>
    <row r="1135" spans="1:21" ht="15.75" hidden="1" outlineLevel="3">
      <c r="A1135" s="162"/>
      <c r="B1135" s="152"/>
      <c r="C1135" s="236" t="s">
        <v>480</v>
      </c>
      <c r="D1135" s="344"/>
      <c r="E1135" s="164"/>
      <c r="F1135" s="165"/>
      <c r="G1135" s="172"/>
      <c r="H1135" s="164"/>
      <c r="I1135" s="164"/>
      <c r="J1135" s="164"/>
      <c r="K1135" s="218"/>
      <c r="L1135" s="234"/>
      <c r="M1135" s="528"/>
      <c r="N1135" s="525"/>
      <c r="O1135" s="203"/>
      <c r="P1135" s="252"/>
      <c r="Q1135" s="201"/>
      <c r="R1135" s="255"/>
      <c r="S1135" s="226"/>
      <c r="T1135" s="235"/>
      <c r="U1135" s="170"/>
    </row>
    <row r="1136" spans="1:21" ht="15.75" hidden="1" outlineLevel="3">
      <c r="A1136" s="162"/>
      <c r="B1136" s="152"/>
      <c r="C1136" s="236" t="s">
        <v>512</v>
      </c>
      <c r="D1136" s="344"/>
      <c r="E1136" s="164"/>
      <c r="F1136" s="165"/>
      <c r="G1136" s="172"/>
      <c r="H1136" s="164"/>
      <c r="I1136" s="164"/>
      <c r="J1136" s="164"/>
      <c r="K1136" s="218"/>
      <c r="L1136" s="234"/>
      <c r="M1136" s="528"/>
      <c r="N1136" s="525"/>
      <c r="O1136" s="203"/>
      <c r="P1136" s="252"/>
      <c r="Q1136" s="201"/>
      <c r="R1136" s="255"/>
      <c r="S1136" s="226"/>
      <c r="T1136" s="235"/>
      <c r="U1136" s="170"/>
    </row>
    <row r="1137" spans="1:21" ht="15.75" hidden="1" outlineLevel="3">
      <c r="A1137" s="162"/>
      <c r="B1137" s="152"/>
      <c r="C1137" s="151" t="s">
        <v>504</v>
      </c>
      <c r="D1137" s="339"/>
      <c r="E1137" s="164"/>
      <c r="F1137" s="165"/>
      <c r="G1137" s="172"/>
      <c r="H1137" s="164"/>
      <c r="I1137" s="164"/>
      <c r="J1137" s="164"/>
      <c r="K1137" s="218"/>
      <c r="L1137" s="234"/>
      <c r="M1137" s="528"/>
      <c r="N1137" s="525"/>
      <c r="O1137" s="203"/>
      <c r="P1137" s="252"/>
      <c r="Q1137" s="201"/>
      <c r="R1137" s="255"/>
      <c r="S1137" s="226"/>
      <c r="T1137" s="235"/>
      <c r="U1137" s="170"/>
    </row>
    <row r="1138" spans="1:21" ht="15.75" hidden="1" outlineLevel="3">
      <c r="A1138" s="162"/>
      <c r="B1138" s="152"/>
      <c r="C1138" s="236" t="s">
        <v>483</v>
      </c>
      <c r="D1138" s="344"/>
      <c r="E1138" s="164"/>
      <c r="F1138" s="165"/>
      <c r="G1138" s="172"/>
      <c r="H1138" s="164"/>
      <c r="I1138" s="164"/>
      <c r="J1138" s="164"/>
      <c r="K1138" s="218">
        <f>CIP!$AV$128</f>
        <v>0</v>
      </c>
      <c r="L1138" s="234">
        <f>SUM(G1138:K1138)</f>
        <v>0</v>
      </c>
      <c r="M1138" s="528"/>
      <c r="N1138" s="525"/>
      <c r="O1138" s="203"/>
      <c r="P1138" s="252"/>
      <c r="Q1138" s="201"/>
      <c r="R1138" s="255"/>
      <c r="S1138" s="159">
        <f t="shared" ref="S1138" si="66">SUM(L1138,N1138,P1138,R1138)</f>
        <v>0</v>
      </c>
      <c r="T1138" s="235"/>
      <c r="U1138" s="170"/>
    </row>
    <row r="1139" spans="1:21" ht="15.75" hidden="1" outlineLevel="3">
      <c r="A1139" s="162"/>
      <c r="B1139" s="152"/>
      <c r="C1139" s="236" t="s">
        <v>484</v>
      </c>
      <c r="D1139" s="344"/>
      <c r="E1139" s="164"/>
      <c r="F1139" s="165"/>
      <c r="G1139" s="172"/>
      <c r="H1139" s="164"/>
      <c r="I1139" s="164"/>
      <c r="J1139" s="164"/>
      <c r="K1139" s="218"/>
      <c r="L1139" s="234"/>
      <c r="M1139" s="528"/>
      <c r="N1139" s="525"/>
      <c r="O1139" s="528"/>
      <c r="P1139" s="252"/>
      <c r="Q1139" s="201"/>
      <c r="R1139" s="255"/>
      <c r="S1139" s="226"/>
      <c r="T1139" s="235"/>
      <c r="U1139" s="170"/>
    </row>
    <row r="1140" spans="1:21" ht="15.75" hidden="1" outlineLevel="3">
      <c r="A1140" s="162"/>
      <c r="B1140" s="152"/>
      <c r="C1140" s="236" t="s">
        <v>479</v>
      </c>
      <c r="D1140" s="344"/>
      <c r="E1140" s="164"/>
      <c r="F1140" s="165"/>
      <c r="G1140" s="172"/>
      <c r="H1140" s="164"/>
      <c r="I1140" s="164"/>
      <c r="J1140" s="164"/>
      <c r="K1140" s="218"/>
      <c r="L1140" s="234"/>
      <c r="M1140" s="528"/>
      <c r="N1140" s="525"/>
      <c r="O1140" s="203"/>
      <c r="P1140" s="252"/>
      <c r="Q1140" s="201"/>
      <c r="R1140" s="255"/>
      <c r="S1140" s="226"/>
      <c r="T1140" s="235"/>
      <c r="U1140" s="170"/>
    </row>
    <row r="1141" spans="1:21" ht="15.75" hidden="1" outlineLevel="3">
      <c r="A1141" s="162"/>
      <c r="B1141" s="152"/>
      <c r="C1141" s="236" t="s">
        <v>485</v>
      </c>
      <c r="D1141" s="344"/>
      <c r="E1141" s="164"/>
      <c r="F1141" s="165"/>
      <c r="G1141" s="172"/>
      <c r="H1141" s="164"/>
      <c r="I1141" s="164"/>
      <c r="J1141" s="164"/>
      <c r="K1141" s="218"/>
      <c r="L1141" s="234"/>
      <c r="M1141" s="528"/>
      <c r="N1141" s="525"/>
      <c r="O1141" s="203"/>
      <c r="P1141" s="252"/>
      <c r="Q1141" s="201"/>
      <c r="R1141" s="255"/>
      <c r="S1141" s="226"/>
      <c r="T1141" s="235"/>
      <c r="U1141" s="170"/>
    </row>
    <row r="1142" spans="1:21" ht="15.75" hidden="1" outlineLevel="3">
      <c r="A1142" s="162"/>
      <c r="B1142" s="152"/>
      <c r="C1142" s="151" t="s">
        <v>505</v>
      </c>
      <c r="D1142" s="339"/>
      <c r="E1142" s="164"/>
      <c r="F1142" s="165"/>
      <c r="G1142" s="172"/>
      <c r="H1142" s="164"/>
      <c r="I1142" s="164"/>
      <c r="J1142" s="164"/>
      <c r="K1142" s="218"/>
      <c r="L1142" s="234"/>
      <c r="M1142" s="528"/>
      <c r="N1142" s="525"/>
      <c r="O1142" s="203"/>
      <c r="P1142" s="252"/>
      <c r="Q1142" s="201"/>
      <c r="R1142" s="255"/>
      <c r="S1142" s="226"/>
      <c r="T1142" s="235"/>
      <c r="U1142" s="170"/>
    </row>
    <row r="1143" spans="1:21" ht="15.75" hidden="1" outlineLevel="3">
      <c r="A1143" s="162"/>
      <c r="B1143" s="152"/>
      <c r="C1143" s="236" t="s">
        <v>487</v>
      </c>
      <c r="D1143" s="344"/>
      <c r="E1143" s="164"/>
      <c r="F1143" s="165"/>
      <c r="G1143" s="172"/>
      <c r="H1143" s="164"/>
      <c r="I1143" s="164"/>
      <c r="J1143" s="164"/>
      <c r="K1143" s="218"/>
      <c r="L1143" s="234"/>
      <c r="M1143" s="528"/>
      <c r="N1143" s="525"/>
      <c r="O1143" s="203"/>
      <c r="P1143" s="252"/>
      <c r="Q1143" s="201"/>
      <c r="R1143" s="255"/>
      <c r="S1143" s="226"/>
      <c r="T1143" s="235"/>
      <c r="U1143" s="170"/>
    </row>
    <row r="1144" spans="1:21" ht="15.75" hidden="1" outlineLevel="3">
      <c r="A1144" s="162"/>
      <c r="B1144" s="152"/>
      <c r="C1144" s="236" t="s">
        <v>479</v>
      </c>
      <c r="D1144" s="344"/>
      <c r="E1144" s="164"/>
      <c r="F1144" s="165"/>
      <c r="G1144" s="172"/>
      <c r="H1144" s="164"/>
      <c r="I1144" s="164"/>
      <c r="J1144" s="164"/>
      <c r="K1144" s="218"/>
      <c r="L1144" s="234"/>
      <c r="M1144" s="528"/>
      <c r="N1144" s="525"/>
      <c r="O1144" s="203"/>
      <c r="P1144" s="252"/>
      <c r="Q1144" s="201"/>
      <c r="R1144" s="255"/>
      <c r="S1144" s="226"/>
      <c r="T1144" s="235"/>
      <c r="U1144" s="170"/>
    </row>
    <row r="1145" spans="1:21" ht="15.75" hidden="1" outlineLevel="3">
      <c r="A1145" s="162"/>
      <c r="B1145" s="152"/>
      <c r="C1145" s="236" t="s">
        <v>488</v>
      </c>
      <c r="D1145" s="344"/>
      <c r="E1145" s="164"/>
      <c r="F1145" s="165"/>
      <c r="G1145" s="172"/>
      <c r="H1145" s="164"/>
      <c r="I1145" s="164"/>
      <c r="J1145" s="164"/>
      <c r="K1145" s="218"/>
      <c r="L1145" s="234"/>
      <c r="M1145" s="528"/>
      <c r="N1145" s="525"/>
      <c r="O1145" s="203"/>
      <c r="P1145" s="252"/>
      <c r="Q1145" s="201"/>
      <c r="R1145" s="255"/>
      <c r="S1145" s="226"/>
      <c r="T1145" s="235"/>
      <c r="U1145" s="170"/>
    </row>
    <row r="1146" spans="1:21" ht="15.75" hidden="1" outlineLevel="3">
      <c r="A1146" s="162"/>
      <c r="B1146" s="152"/>
      <c r="C1146" s="236" t="s">
        <v>489</v>
      </c>
      <c r="D1146" s="344"/>
      <c r="E1146" s="164"/>
      <c r="F1146" s="165"/>
      <c r="G1146" s="172"/>
      <c r="H1146" s="164"/>
      <c r="I1146" s="164"/>
      <c r="J1146" s="164"/>
      <c r="K1146" s="218"/>
      <c r="L1146" s="234"/>
      <c r="M1146" s="528"/>
      <c r="N1146" s="525"/>
      <c r="O1146" s="203">
        <v>80000</v>
      </c>
      <c r="P1146" s="252">
        <f>O1146*1.46</f>
        <v>116800</v>
      </c>
      <c r="Q1146" s="201"/>
      <c r="R1146" s="255"/>
      <c r="S1146" s="159">
        <f t="shared" ref="S1146:S1160" si="67">SUM(L1146,N1146,P1146,R1146)</f>
        <v>116800</v>
      </c>
      <c r="T1146" s="235"/>
      <c r="U1146" s="170"/>
    </row>
    <row r="1147" spans="1:21" ht="15.75" hidden="1" outlineLevel="3">
      <c r="A1147" s="162"/>
      <c r="B1147" s="152"/>
      <c r="C1147" s="151" t="s">
        <v>506</v>
      </c>
      <c r="D1147" s="339"/>
      <c r="E1147" s="164"/>
      <c r="F1147" s="165"/>
      <c r="G1147" s="172"/>
      <c r="H1147" s="164"/>
      <c r="I1147" s="164"/>
      <c r="J1147" s="164"/>
      <c r="K1147" s="218"/>
      <c r="L1147" s="234"/>
      <c r="M1147" s="528"/>
      <c r="N1147" s="525"/>
      <c r="O1147" s="203"/>
      <c r="P1147" s="252"/>
      <c r="Q1147" s="201"/>
      <c r="R1147" s="255"/>
      <c r="S1147" s="159"/>
      <c r="T1147" s="235"/>
      <c r="U1147" s="170"/>
    </row>
    <row r="1148" spans="1:21" ht="15.75" hidden="1" outlineLevel="3">
      <c r="A1148" s="162"/>
      <c r="B1148" s="152"/>
      <c r="C1148" s="236" t="s">
        <v>491</v>
      </c>
      <c r="D1148" s="344"/>
      <c r="E1148" s="164"/>
      <c r="F1148" s="165"/>
      <c r="G1148" s="172"/>
      <c r="H1148" s="164"/>
      <c r="I1148" s="164"/>
      <c r="J1148" s="164"/>
      <c r="K1148" s="218"/>
      <c r="L1148" s="234"/>
      <c r="M1148" s="528"/>
      <c r="N1148" s="525"/>
      <c r="O1148" s="203">
        <v>96000</v>
      </c>
      <c r="P1148" s="252">
        <f>O1148*1.46</f>
        <v>140160</v>
      </c>
      <c r="Q1148" s="201"/>
      <c r="R1148" s="255"/>
      <c r="S1148" s="159">
        <f t="shared" si="67"/>
        <v>140160</v>
      </c>
      <c r="T1148" s="235"/>
      <c r="U1148" s="170"/>
    </row>
    <row r="1149" spans="1:21" ht="15.75" hidden="1" outlineLevel="3">
      <c r="A1149" s="162"/>
      <c r="B1149" s="152"/>
      <c r="C1149" s="236" t="s">
        <v>492</v>
      </c>
      <c r="D1149" s="344"/>
      <c r="E1149" s="164"/>
      <c r="F1149" s="165"/>
      <c r="G1149" s="172"/>
      <c r="H1149" s="219"/>
      <c r="I1149" s="164"/>
      <c r="J1149" s="164"/>
      <c r="K1149" s="218"/>
      <c r="L1149" s="234"/>
      <c r="M1149" s="528"/>
      <c r="N1149" s="525"/>
      <c r="O1149" s="528"/>
      <c r="P1149" s="252"/>
      <c r="Q1149" s="201"/>
      <c r="R1149" s="255"/>
      <c r="S1149" s="159"/>
      <c r="T1149" s="247"/>
      <c r="U1149" s="170"/>
    </row>
    <row r="1150" spans="1:21" ht="15.75" hidden="1" outlineLevel="3">
      <c r="A1150" s="162"/>
      <c r="B1150" s="152"/>
      <c r="C1150" s="236" t="s">
        <v>493</v>
      </c>
      <c r="D1150" s="344"/>
      <c r="E1150" s="164"/>
      <c r="F1150" s="165"/>
      <c r="G1150" s="172"/>
      <c r="H1150" s="164"/>
      <c r="I1150" s="164"/>
      <c r="J1150" s="164"/>
      <c r="K1150" s="218"/>
      <c r="L1150" s="234"/>
      <c r="M1150" s="528"/>
      <c r="N1150" s="525"/>
      <c r="O1150" s="203">
        <v>250500</v>
      </c>
      <c r="P1150" s="252">
        <f>O1150*1.46</f>
        <v>365730</v>
      </c>
      <c r="Q1150" s="201"/>
      <c r="R1150" s="255"/>
      <c r="S1150" s="159">
        <f t="shared" si="67"/>
        <v>365730</v>
      </c>
      <c r="T1150" s="235"/>
      <c r="U1150" s="170"/>
    </row>
    <row r="1151" spans="1:21" ht="15.75" hidden="1" outlineLevel="3">
      <c r="A1151" s="162"/>
      <c r="B1151" s="152"/>
      <c r="C1151" s="236" t="s">
        <v>494</v>
      </c>
      <c r="D1151" s="344"/>
      <c r="E1151" s="164"/>
      <c r="F1151" s="165"/>
      <c r="G1151" s="172"/>
      <c r="H1151" s="164"/>
      <c r="I1151" s="164"/>
      <c r="J1151" s="164"/>
      <c r="K1151" s="218"/>
      <c r="L1151" s="234"/>
      <c r="M1151" s="528"/>
      <c r="N1151" s="525"/>
      <c r="O1151" s="203"/>
      <c r="P1151" s="252"/>
      <c r="Q1151" s="201"/>
      <c r="R1151" s="255"/>
      <c r="S1151" s="159"/>
      <c r="T1151" s="235"/>
      <c r="U1151" s="161"/>
    </row>
    <row r="1152" spans="1:21" ht="15.75" hidden="1" outlineLevel="3">
      <c r="A1152" s="162"/>
      <c r="B1152" s="152"/>
      <c r="C1152" s="151" t="s">
        <v>507</v>
      </c>
      <c r="D1152" s="339"/>
      <c r="E1152" s="164"/>
      <c r="F1152" s="165"/>
      <c r="G1152" s="172"/>
      <c r="H1152" s="164"/>
      <c r="I1152" s="164"/>
      <c r="J1152" s="164"/>
      <c r="K1152" s="218"/>
      <c r="L1152" s="234"/>
      <c r="M1152" s="528"/>
      <c r="N1152" s="525"/>
      <c r="O1152" s="203"/>
      <c r="P1152" s="252"/>
      <c r="Q1152" s="201"/>
      <c r="R1152" s="255"/>
      <c r="S1152" s="159"/>
      <c r="T1152" s="235"/>
      <c r="U1152" s="170"/>
    </row>
    <row r="1153" spans="1:21" ht="15.75" hidden="1" outlineLevel="3">
      <c r="A1153" s="162"/>
      <c r="B1153" s="152"/>
      <c r="C1153" s="174" t="s">
        <v>496</v>
      </c>
      <c r="D1153" s="340"/>
      <c r="E1153" s="164"/>
      <c r="F1153" s="165"/>
      <c r="G1153" s="172"/>
      <c r="H1153" s="164"/>
      <c r="I1153" s="164"/>
      <c r="J1153" s="164"/>
      <c r="K1153" s="218"/>
      <c r="L1153" s="234"/>
      <c r="M1153" s="528"/>
      <c r="N1153" s="525"/>
      <c r="O1153" s="203"/>
      <c r="P1153" s="252"/>
      <c r="Q1153" s="201"/>
      <c r="R1153" s="255"/>
      <c r="S1153" s="159"/>
      <c r="T1153" s="235"/>
      <c r="U1153" s="170"/>
    </row>
    <row r="1154" spans="1:21" ht="15.75" hidden="1" outlineLevel="3">
      <c r="A1154" s="162"/>
      <c r="B1154" s="152"/>
      <c r="C1154" s="174" t="s">
        <v>497</v>
      </c>
      <c r="D1154" s="340"/>
      <c r="E1154" s="164"/>
      <c r="F1154" s="165"/>
      <c r="G1154" s="172"/>
      <c r="H1154" s="164"/>
      <c r="I1154" s="164"/>
      <c r="J1154" s="164"/>
      <c r="K1154" s="218"/>
      <c r="L1154" s="234"/>
      <c r="M1154" s="528"/>
      <c r="N1154" s="525"/>
      <c r="O1154" s="203"/>
      <c r="P1154" s="252"/>
      <c r="Q1154" s="201"/>
      <c r="R1154" s="255"/>
      <c r="S1154" s="159"/>
      <c r="T1154" s="235"/>
      <c r="U1154" s="170"/>
    </row>
    <row r="1155" spans="1:21" ht="15.75" hidden="1" outlineLevel="3">
      <c r="A1155" s="162"/>
      <c r="B1155" s="152"/>
      <c r="C1155" s="174" t="s">
        <v>499</v>
      </c>
      <c r="D1155" s="340"/>
      <c r="E1155" s="164"/>
      <c r="F1155" s="165"/>
      <c r="G1155" s="172"/>
      <c r="H1155" s="164"/>
      <c r="I1155" s="164"/>
      <c r="J1155" s="164"/>
      <c r="K1155" s="218"/>
      <c r="L1155" s="234"/>
      <c r="M1155" s="528"/>
      <c r="N1155" s="525"/>
      <c r="O1155" s="203"/>
      <c r="P1155" s="252"/>
      <c r="Q1155" s="201"/>
      <c r="R1155" s="255"/>
      <c r="S1155" s="159"/>
      <c r="T1155" s="235"/>
      <c r="U1155" s="170"/>
    </row>
    <row r="1156" spans="1:21" ht="15.75" hidden="1" outlineLevel="3">
      <c r="A1156" s="162"/>
      <c r="B1156" s="152"/>
      <c r="C1156" s="174" t="s">
        <v>526</v>
      </c>
      <c r="D1156" s="340"/>
      <c r="E1156" s="164"/>
      <c r="F1156" s="165"/>
      <c r="G1156" s="172"/>
      <c r="H1156" s="164"/>
      <c r="I1156" s="164"/>
      <c r="J1156" s="164"/>
      <c r="K1156" s="218"/>
      <c r="L1156" s="234"/>
      <c r="M1156" s="528"/>
      <c r="N1156" s="525"/>
      <c r="O1156" s="203">
        <v>83500</v>
      </c>
      <c r="P1156" s="252">
        <f t="shared" ref="P1156:P1157" si="68">O1156*1.46</f>
        <v>121910</v>
      </c>
      <c r="Q1156" s="201"/>
      <c r="R1156" s="255"/>
      <c r="S1156" s="159">
        <f t="shared" si="67"/>
        <v>121910</v>
      </c>
      <c r="T1156" s="235"/>
      <c r="U1156" s="161"/>
    </row>
    <row r="1157" spans="1:21" s="135" customFormat="1" ht="15.75" hidden="1" outlineLevel="2" collapsed="1">
      <c r="A1157" s="229"/>
      <c r="B1157" s="289"/>
      <c r="C1157" s="151" t="s">
        <v>644</v>
      </c>
      <c r="D1157" s="339"/>
      <c r="E1157" s="244"/>
      <c r="F1157" s="248"/>
      <c r="G1157" s="249"/>
      <c r="H1157" s="244"/>
      <c r="I1157" s="244"/>
      <c r="J1157" s="244"/>
      <c r="K1157" s="523">
        <f>SUM(K1131:K1156)</f>
        <v>0</v>
      </c>
      <c r="L1157" s="226">
        <f>SUM(L1131:L1156)</f>
        <v>0</v>
      </c>
      <c r="M1157" s="238">
        <f>SUM(M1131:M1156)</f>
        <v>170000</v>
      </c>
      <c r="N1157" s="525">
        <f>M1157*1.23</f>
        <v>209100</v>
      </c>
      <c r="O1157" s="203">
        <f>SUM(O1131:O1156)</f>
        <v>510000</v>
      </c>
      <c r="P1157" s="251">
        <f t="shared" si="68"/>
        <v>744600</v>
      </c>
      <c r="Q1157" s="201"/>
      <c r="R1157" s="255"/>
      <c r="S1157" s="159">
        <f t="shared" si="67"/>
        <v>953700</v>
      </c>
      <c r="T1157" s="235"/>
      <c r="U1157" s="170" t="s">
        <v>1008</v>
      </c>
    </row>
    <row r="1158" spans="1:21" s="233" customFormat="1" hidden="1" outlineLevel="3">
      <c r="A1158" s="232"/>
      <c r="B1158" s="151" t="s">
        <v>653</v>
      </c>
      <c r="C1158" s="171"/>
      <c r="D1158" s="343"/>
      <c r="E1158" s="157"/>
      <c r="F1158" s="158"/>
      <c r="G1158" s="197"/>
      <c r="H1158" s="157"/>
      <c r="I1158" s="157"/>
      <c r="J1158" s="157"/>
      <c r="K1158" s="222"/>
      <c r="L1158" s="167"/>
      <c r="M1158" s="202"/>
      <c r="N1158" s="525"/>
      <c r="O1158" s="203"/>
      <c r="P1158" s="252"/>
      <c r="Q1158" s="201"/>
      <c r="R1158" s="255"/>
      <c r="S1158" s="245"/>
      <c r="T1158" s="246"/>
      <c r="U1158" s="170"/>
    </row>
    <row r="1159" spans="1:21" s="233" customFormat="1" hidden="1" outlineLevel="3">
      <c r="A1159" s="232"/>
      <c r="B1159" s="151"/>
      <c r="C1159" s="174" t="s">
        <v>654</v>
      </c>
      <c r="D1159" s="340"/>
      <c r="E1159" s="157"/>
      <c r="F1159" s="259">
        <v>780000</v>
      </c>
      <c r="G1159" s="438">
        <f>CIP!$AR$13</f>
        <v>750000</v>
      </c>
      <c r="H1159" s="157"/>
      <c r="I1159" s="157"/>
      <c r="J1159" s="157"/>
      <c r="K1159" s="222"/>
      <c r="L1159" s="167">
        <f>SUM(G1159:K1159)</f>
        <v>750000</v>
      </c>
      <c r="M1159" s="202"/>
      <c r="N1159" s="525"/>
      <c r="O1159" s="203"/>
      <c r="P1159" s="252"/>
      <c r="Q1159" s="201"/>
      <c r="R1159" s="255"/>
      <c r="S1159" s="159">
        <f t="shared" si="67"/>
        <v>750000</v>
      </c>
      <c r="T1159" s="225"/>
      <c r="U1159" s="170"/>
    </row>
    <row r="1160" spans="1:21" s="135" customFormat="1" ht="15.75" hidden="1" outlineLevel="2" collapsed="1">
      <c r="A1160" s="229"/>
      <c r="B1160" s="289"/>
      <c r="C1160" s="151" t="s">
        <v>653</v>
      </c>
      <c r="D1160" s="339"/>
      <c r="E1160" s="157">
        <v>4252000</v>
      </c>
      <c r="F1160" s="259">
        <v>780000</v>
      </c>
      <c r="G1160" s="383">
        <v>3472000</v>
      </c>
      <c r="H1160" s="244"/>
      <c r="I1160" s="244"/>
      <c r="J1160" s="244"/>
      <c r="K1160" s="523"/>
      <c r="L1160" s="226">
        <f>SUM(L1159)</f>
        <v>750000</v>
      </c>
      <c r="M1160" s="202"/>
      <c r="N1160" s="251"/>
      <c r="O1160" s="203"/>
      <c r="P1160" s="251"/>
      <c r="Q1160" s="201"/>
      <c r="R1160" s="255"/>
      <c r="S1160" s="159">
        <f t="shared" si="67"/>
        <v>750000</v>
      </c>
      <c r="T1160" s="235"/>
      <c r="U1160" s="542"/>
    </row>
    <row r="1161" spans="1:21" s="233" customFormat="1" hidden="1" outlineLevel="3">
      <c r="A1161" s="232"/>
      <c r="B1161" s="151" t="s">
        <v>1136</v>
      </c>
      <c r="C1161" s="171"/>
      <c r="D1161" s="343"/>
      <c r="E1161" s="157"/>
      <c r="F1161" s="158"/>
      <c r="G1161" s="197"/>
      <c r="H1161" s="157"/>
      <c r="I1161" s="157"/>
      <c r="J1161" s="157"/>
      <c r="K1161" s="222"/>
      <c r="L1161" s="167"/>
      <c r="M1161" s="202"/>
      <c r="N1161" s="525"/>
      <c r="O1161" s="203"/>
      <c r="P1161" s="252"/>
      <c r="Q1161" s="201"/>
      <c r="R1161" s="255"/>
      <c r="S1161" s="245"/>
      <c r="T1161" s="246"/>
      <c r="U1161" s="170"/>
    </row>
    <row r="1162" spans="1:21" ht="15.75" hidden="1" outlineLevel="3">
      <c r="A1162" s="162"/>
      <c r="B1162" s="152"/>
      <c r="C1162" s="236" t="s">
        <v>1137</v>
      </c>
      <c r="D1162" s="340"/>
      <c r="E1162" s="164"/>
      <c r="F1162" s="165"/>
      <c r="G1162" s="172">
        <f>CIP!$AR$8</f>
        <v>1500000</v>
      </c>
      <c r="H1162" s="164">
        <f>CIP!$AS$8</f>
        <v>7500000</v>
      </c>
      <c r="I1162" s="219">
        <f>CIP!$AT$8</f>
        <v>6000000</v>
      </c>
      <c r="J1162" s="203"/>
      <c r="K1162" s="218"/>
      <c r="L1162" s="234">
        <f>SUM(G1162:K1162)</f>
        <v>15000000</v>
      </c>
      <c r="M1162" s="202"/>
      <c r="N1162" s="525"/>
      <c r="O1162" s="203"/>
      <c r="P1162" s="252"/>
      <c r="Q1162" s="201"/>
      <c r="R1162" s="255"/>
      <c r="S1162" s="159">
        <f t="shared" ref="S1162:S1163" si="69">SUM(L1162,N1162,P1162,R1162)</f>
        <v>15000000</v>
      </c>
      <c r="T1162" s="235"/>
      <c r="U1162" s="161"/>
    </row>
    <row r="1163" spans="1:21" s="135" customFormat="1" ht="15.75" hidden="1" outlineLevel="2" collapsed="1">
      <c r="A1163" s="229"/>
      <c r="B1163" s="289"/>
      <c r="C1163" s="151" t="s">
        <v>1136</v>
      </c>
      <c r="D1163" s="339"/>
      <c r="E1163" s="244"/>
      <c r="F1163" s="248"/>
      <c r="G1163" s="249">
        <f>SUM(G1161:G1162)</f>
        <v>1500000</v>
      </c>
      <c r="H1163" s="244">
        <f>SUM(H1161:H1162)</f>
        <v>7500000</v>
      </c>
      <c r="I1163" s="244">
        <f>SUM(I1162)</f>
        <v>6000000</v>
      </c>
      <c r="J1163" s="251"/>
      <c r="K1163" s="523"/>
      <c r="L1163" s="226">
        <f>SUM(G1163:K1163)</f>
        <v>15000000</v>
      </c>
      <c r="M1163" s="202"/>
      <c r="N1163" s="251"/>
      <c r="O1163" s="203"/>
      <c r="P1163" s="251"/>
      <c r="Q1163" s="201"/>
      <c r="R1163" s="255"/>
      <c r="S1163" s="159">
        <f t="shared" si="69"/>
        <v>15000000</v>
      </c>
      <c r="T1163" s="235"/>
      <c r="U1163" s="542"/>
    </row>
    <row r="1164" spans="1:21" s="233" customFormat="1" hidden="1" outlineLevel="3">
      <c r="A1164" s="232"/>
      <c r="B1164" s="151" t="s">
        <v>645</v>
      </c>
      <c r="C1164" s="171"/>
      <c r="D1164" s="343"/>
      <c r="E1164" s="157"/>
      <c r="F1164" s="158"/>
      <c r="G1164" s="197"/>
      <c r="H1164" s="157"/>
      <c r="I1164" s="157"/>
      <c r="J1164" s="157"/>
      <c r="K1164" s="222"/>
      <c r="L1164" s="167"/>
      <c r="M1164" s="202"/>
      <c r="N1164" s="525"/>
      <c r="O1164" s="203"/>
      <c r="P1164" s="252"/>
      <c r="Q1164" s="201"/>
      <c r="R1164" s="255"/>
      <c r="S1164" s="245"/>
      <c r="T1164" s="246"/>
      <c r="U1164" s="170"/>
    </row>
    <row r="1165" spans="1:21" ht="15.75" hidden="1" outlineLevel="3">
      <c r="A1165" s="162"/>
      <c r="B1165" s="152"/>
      <c r="C1165" s="151" t="s">
        <v>503</v>
      </c>
      <c r="D1165" s="339"/>
      <c r="E1165" s="164"/>
      <c r="F1165" s="165"/>
      <c r="G1165" s="172"/>
      <c r="H1165" s="164"/>
      <c r="I1165" s="164"/>
      <c r="J1165" s="164"/>
      <c r="K1165" s="218"/>
      <c r="L1165" s="234"/>
      <c r="M1165" s="202"/>
      <c r="N1165" s="525"/>
      <c r="O1165" s="203"/>
      <c r="P1165" s="252"/>
      <c r="Q1165" s="201"/>
      <c r="R1165" s="255"/>
      <c r="S1165" s="226"/>
      <c r="T1165" s="235"/>
      <c r="U1165" s="170"/>
    </row>
    <row r="1166" spans="1:21" ht="15.75" hidden="1" outlineLevel="3">
      <c r="A1166" s="162"/>
      <c r="B1166" s="152"/>
      <c r="C1166" s="236" t="s">
        <v>520</v>
      </c>
      <c r="D1166" s="344"/>
      <c r="E1166" s="164"/>
      <c r="F1166" s="165"/>
      <c r="G1166" s="172"/>
      <c r="H1166" s="164"/>
      <c r="I1166" s="164"/>
      <c r="J1166" s="164"/>
      <c r="K1166" s="218"/>
      <c r="L1166" s="234"/>
      <c r="M1166" s="202"/>
      <c r="N1166" s="525"/>
      <c r="O1166" s="203"/>
      <c r="P1166" s="252"/>
      <c r="Q1166" s="201"/>
      <c r="R1166" s="255"/>
      <c r="S1166" s="226"/>
      <c r="T1166" s="235"/>
      <c r="U1166" s="170"/>
    </row>
    <row r="1167" spans="1:21" ht="15.75" hidden="1" outlineLevel="3">
      <c r="A1167" s="162"/>
      <c r="B1167" s="152"/>
      <c r="C1167" s="236" t="s">
        <v>478</v>
      </c>
      <c r="D1167" s="344"/>
      <c r="E1167" s="164"/>
      <c r="F1167" s="165"/>
      <c r="G1167" s="172"/>
      <c r="H1167" s="164"/>
      <c r="I1167" s="164"/>
      <c r="J1167" s="164"/>
      <c r="K1167" s="218"/>
      <c r="L1167" s="234"/>
      <c r="M1167" s="202"/>
      <c r="N1167" s="525"/>
      <c r="O1167" s="203"/>
      <c r="P1167" s="252"/>
      <c r="Q1167" s="201"/>
      <c r="R1167" s="255"/>
      <c r="S1167" s="226"/>
      <c r="T1167" s="235"/>
      <c r="U1167" s="170"/>
    </row>
    <row r="1168" spans="1:21" ht="15.75" hidden="1" outlineLevel="3">
      <c r="A1168" s="162"/>
      <c r="B1168" s="152"/>
      <c r="C1168" s="236" t="s">
        <v>479</v>
      </c>
      <c r="D1168" s="344"/>
      <c r="E1168" s="164"/>
      <c r="F1168" s="165"/>
      <c r="G1168" s="172"/>
      <c r="H1168" s="164"/>
      <c r="I1168" s="164"/>
      <c r="J1168" s="164"/>
      <c r="K1168" s="218"/>
      <c r="L1168" s="220"/>
      <c r="M1168" s="204"/>
      <c r="N1168" s="525"/>
      <c r="O1168" s="203"/>
      <c r="P1168" s="252"/>
      <c r="Q1168" s="201"/>
      <c r="R1168" s="255"/>
      <c r="S1168" s="226"/>
      <c r="T1168" s="235"/>
      <c r="U1168" s="170"/>
    </row>
    <row r="1169" spans="1:21" ht="15.75" hidden="1" outlineLevel="3">
      <c r="A1169" s="162"/>
      <c r="B1169" s="152"/>
      <c r="C1169" s="236" t="s">
        <v>480</v>
      </c>
      <c r="D1169" s="344"/>
      <c r="E1169" s="164"/>
      <c r="F1169" s="165"/>
      <c r="G1169" s="172"/>
      <c r="H1169" s="164"/>
      <c r="I1169" s="164"/>
      <c r="J1169" s="164"/>
      <c r="K1169" s="218"/>
      <c r="L1169" s="234"/>
      <c r="M1169" s="202"/>
      <c r="N1169" s="525"/>
      <c r="O1169" s="203"/>
      <c r="P1169" s="252"/>
      <c r="Q1169" s="201"/>
      <c r="R1169" s="255"/>
      <c r="S1169" s="226"/>
      <c r="T1169" s="235"/>
      <c r="U1169" s="170"/>
    </row>
    <row r="1170" spans="1:21" ht="15.75" hidden="1" outlineLevel="3">
      <c r="A1170" s="162"/>
      <c r="B1170" s="152"/>
      <c r="C1170" s="236" t="s">
        <v>1114</v>
      </c>
      <c r="D1170" s="344"/>
      <c r="E1170" s="164"/>
      <c r="F1170" s="165"/>
      <c r="G1170" s="172"/>
      <c r="H1170" s="164"/>
      <c r="I1170" s="219">
        <f>CIP!$AT$75</f>
        <v>0</v>
      </c>
      <c r="J1170" s="219"/>
      <c r="K1170" s="218"/>
      <c r="L1170" s="234">
        <f>SUM(G1170:K1170)</f>
        <v>0</v>
      </c>
      <c r="M1170" s="202"/>
      <c r="N1170" s="525"/>
      <c r="O1170" s="203"/>
      <c r="P1170" s="252"/>
      <c r="Q1170" s="201"/>
      <c r="R1170" s="255"/>
      <c r="S1170" s="159">
        <f t="shared" ref="S1170:S1172" si="70">SUM(L1170,N1170,P1170,R1170)</f>
        <v>0</v>
      </c>
      <c r="T1170" s="235"/>
      <c r="U1170" s="170" t="s">
        <v>1146</v>
      </c>
    </row>
    <row r="1171" spans="1:21" ht="15.75" hidden="1" outlineLevel="3">
      <c r="A1171" s="162"/>
      <c r="B1171" s="152"/>
      <c r="C1171" s="151" t="s">
        <v>504</v>
      </c>
      <c r="D1171" s="339"/>
      <c r="E1171" s="164"/>
      <c r="F1171" s="165"/>
      <c r="G1171" s="172"/>
      <c r="H1171" s="164"/>
      <c r="I1171" s="164"/>
      <c r="J1171" s="164"/>
      <c r="K1171" s="218"/>
      <c r="L1171" s="234"/>
      <c r="M1171" s="202"/>
      <c r="N1171" s="525"/>
      <c r="O1171" s="203"/>
      <c r="P1171" s="252"/>
      <c r="Q1171" s="201"/>
      <c r="R1171" s="255"/>
      <c r="S1171" s="226"/>
      <c r="T1171" s="235"/>
      <c r="U1171" s="170"/>
    </row>
    <row r="1172" spans="1:21" ht="15.75" hidden="1" outlineLevel="3">
      <c r="A1172" s="162"/>
      <c r="B1172" s="152"/>
      <c r="C1172" s="236" t="s">
        <v>483</v>
      </c>
      <c r="D1172" s="344"/>
      <c r="E1172" s="164"/>
      <c r="F1172" s="165"/>
      <c r="G1172" s="172"/>
      <c r="H1172" s="219">
        <f>CIP!$AS$52</f>
        <v>0</v>
      </c>
      <c r="I1172" s="164"/>
      <c r="J1172" s="164"/>
      <c r="K1172" s="218"/>
      <c r="L1172" s="234">
        <f>SUM(G1172:K1172)</f>
        <v>0</v>
      </c>
      <c r="M1172" s="202"/>
      <c r="N1172" s="525"/>
      <c r="O1172" s="203"/>
      <c r="P1172" s="252"/>
      <c r="Q1172" s="201"/>
      <c r="R1172" s="255"/>
      <c r="S1172" s="159">
        <f t="shared" si="70"/>
        <v>0</v>
      </c>
      <c r="T1172" s="235"/>
      <c r="U1172" s="170"/>
    </row>
    <row r="1173" spans="1:21" ht="15.75" hidden="1" outlineLevel="3">
      <c r="A1173" s="162"/>
      <c r="B1173" s="152"/>
      <c r="C1173" s="236" t="s">
        <v>484</v>
      </c>
      <c r="D1173" s="344"/>
      <c r="E1173" s="164"/>
      <c r="F1173" s="165"/>
      <c r="G1173" s="172"/>
      <c r="H1173" s="164"/>
      <c r="I1173" s="164"/>
      <c r="J1173" s="164"/>
      <c r="K1173" s="218"/>
      <c r="L1173" s="234"/>
      <c r="M1173" s="202"/>
      <c r="N1173" s="525"/>
      <c r="O1173" s="203"/>
      <c r="P1173" s="252"/>
      <c r="Q1173" s="201"/>
      <c r="R1173" s="255"/>
      <c r="S1173" s="226"/>
      <c r="T1173" s="235"/>
      <c r="U1173" s="170"/>
    </row>
    <row r="1174" spans="1:21" ht="15.75" hidden="1" outlineLevel="3">
      <c r="A1174" s="162"/>
      <c r="B1174" s="152"/>
      <c r="C1174" s="236" t="s">
        <v>479</v>
      </c>
      <c r="D1174" s="344"/>
      <c r="E1174" s="164"/>
      <c r="F1174" s="165"/>
      <c r="G1174" s="172"/>
      <c r="H1174" s="164"/>
      <c r="I1174" s="164"/>
      <c r="J1174" s="164"/>
      <c r="K1174" s="218"/>
      <c r="L1174" s="234"/>
      <c r="M1174" s="202"/>
      <c r="N1174" s="525"/>
      <c r="O1174" s="203"/>
      <c r="P1174" s="252"/>
      <c r="Q1174" s="201"/>
      <c r="R1174" s="255"/>
      <c r="S1174" s="226"/>
      <c r="T1174" s="235"/>
      <c r="U1174" s="170"/>
    </row>
    <row r="1175" spans="1:21" ht="15.75" hidden="1" outlineLevel="3">
      <c r="A1175" s="162"/>
      <c r="B1175" s="152"/>
      <c r="C1175" s="236" t="s">
        <v>485</v>
      </c>
      <c r="D1175" s="344"/>
      <c r="E1175" s="164"/>
      <c r="F1175" s="165"/>
      <c r="G1175" s="172"/>
      <c r="H1175" s="164"/>
      <c r="I1175" s="164"/>
      <c r="J1175" s="164"/>
      <c r="K1175" s="218"/>
      <c r="L1175" s="234"/>
      <c r="M1175" s="202"/>
      <c r="N1175" s="525"/>
      <c r="O1175" s="203"/>
      <c r="P1175" s="252"/>
      <c r="Q1175" s="201"/>
      <c r="R1175" s="255"/>
      <c r="S1175" s="226"/>
      <c r="T1175" s="235"/>
      <c r="U1175" s="170"/>
    </row>
    <row r="1176" spans="1:21" ht="15.75" hidden="1" outlineLevel="3">
      <c r="A1176" s="162"/>
      <c r="B1176" s="152"/>
      <c r="C1176" s="151" t="s">
        <v>505</v>
      </c>
      <c r="D1176" s="339"/>
      <c r="E1176" s="164"/>
      <c r="F1176" s="165"/>
      <c r="G1176" s="172"/>
      <c r="H1176" s="164"/>
      <c r="I1176" s="164"/>
      <c r="J1176" s="164"/>
      <c r="K1176" s="218"/>
      <c r="L1176" s="234"/>
      <c r="M1176" s="202"/>
      <c r="N1176" s="525"/>
      <c r="O1176" s="203"/>
      <c r="P1176" s="252"/>
      <c r="Q1176" s="201"/>
      <c r="R1176" s="255"/>
      <c r="S1176" s="226"/>
      <c r="T1176" s="235"/>
      <c r="U1176" s="170"/>
    </row>
    <row r="1177" spans="1:21" ht="15.75" hidden="1" outlineLevel="3">
      <c r="A1177" s="162"/>
      <c r="B1177" s="152"/>
      <c r="C1177" s="236" t="s">
        <v>487</v>
      </c>
      <c r="D1177" s="344"/>
      <c r="E1177" s="164"/>
      <c r="F1177" s="165"/>
      <c r="G1177" s="172"/>
      <c r="H1177" s="164"/>
      <c r="I1177" s="164"/>
      <c r="J1177" s="164"/>
      <c r="K1177" s="218"/>
      <c r="L1177" s="234"/>
      <c r="M1177" s="202"/>
      <c r="N1177" s="525"/>
      <c r="O1177" s="203"/>
      <c r="P1177" s="252"/>
      <c r="Q1177" s="201"/>
      <c r="R1177" s="255"/>
      <c r="S1177" s="226"/>
      <c r="T1177" s="235"/>
      <c r="U1177" s="170"/>
    </row>
    <row r="1178" spans="1:21" ht="15.75" hidden="1" outlineLevel="3">
      <c r="A1178" s="162"/>
      <c r="B1178" s="152"/>
      <c r="C1178" s="236" t="s">
        <v>479</v>
      </c>
      <c r="D1178" s="344"/>
      <c r="E1178" s="164"/>
      <c r="F1178" s="165"/>
      <c r="G1178" s="172"/>
      <c r="H1178" s="164"/>
      <c r="I1178" s="164"/>
      <c r="J1178" s="164"/>
      <c r="K1178" s="218"/>
      <c r="L1178" s="234"/>
      <c r="M1178" s="202"/>
      <c r="N1178" s="525"/>
      <c r="O1178" s="203"/>
      <c r="P1178" s="252"/>
      <c r="Q1178" s="201"/>
      <c r="R1178" s="255"/>
      <c r="S1178" s="226"/>
      <c r="T1178" s="235"/>
      <c r="U1178" s="170"/>
    </row>
    <row r="1179" spans="1:21" ht="15.75" hidden="1" outlineLevel="3">
      <c r="A1179" s="162"/>
      <c r="B1179" s="152"/>
      <c r="C1179" s="236" t="s">
        <v>488</v>
      </c>
      <c r="D1179" s="344"/>
      <c r="E1179" s="164"/>
      <c r="F1179" s="165"/>
      <c r="G1179" s="172"/>
      <c r="H1179" s="164"/>
      <c r="I1179" s="164"/>
      <c r="J1179" s="164"/>
      <c r="K1179" s="218"/>
      <c r="L1179" s="234"/>
      <c r="M1179" s="202"/>
      <c r="N1179" s="525"/>
      <c r="O1179" s="203"/>
      <c r="P1179" s="252"/>
      <c r="Q1179" s="201"/>
      <c r="R1179" s="255"/>
      <c r="S1179" s="226"/>
      <c r="T1179" s="235"/>
      <c r="U1179" s="170"/>
    </row>
    <row r="1180" spans="1:21" ht="15.75" hidden="1" outlineLevel="3">
      <c r="A1180" s="162"/>
      <c r="B1180" s="152"/>
      <c r="C1180" s="236" t="s">
        <v>489</v>
      </c>
      <c r="D1180" s="344"/>
      <c r="E1180" s="164"/>
      <c r="F1180" s="165"/>
      <c r="G1180" s="172"/>
      <c r="H1180" s="164"/>
      <c r="I1180" s="164"/>
      <c r="J1180" s="164"/>
      <c r="K1180" s="218"/>
      <c r="L1180" s="234"/>
      <c r="M1180" s="202"/>
      <c r="N1180" s="525"/>
      <c r="O1180" s="203"/>
      <c r="P1180" s="252"/>
      <c r="Q1180" s="201"/>
      <c r="R1180" s="255"/>
      <c r="S1180" s="226"/>
      <c r="T1180" s="235"/>
      <c r="U1180" s="170"/>
    </row>
    <row r="1181" spans="1:21" ht="15.75" hidden="1" outlineLevel="3">
      <c r="A1181" s="162"/>
      <c r="B1181" s="152"/>
      <c r="C1181" s="151" t="s">
        <v>506</v>
      </c>
      <c r="D1181" s="339"/>
      <c r="E1181" s="164"/>
      <c r="F1181" s="165"/>
      <c r="G1181" s="172"/>
      <c r="H1181" s="164"/>
      <c r="I1181" s="164"/>
      <c r="J1181" s="164"/>
      <c r="K1181" s="218"/>
      <c r="L1181" s="234"/>
      <c r="M1181" s="202"/>
      <c r="N1181" s="525"/>
      <c r="O1181" s="203"/>
      <c r="P1181" s="252"/>
      <c r="Q1181" s="201"/>
      <c r="R1181" s="255"/>
      <c r="S1181" s="226"/>
      <c r="T1181" s="235"/>
      <c r="U1181" s="170"/>
    </row>
    <row r="1182" spans="1:21" ht="15.75" hidden="1" outlineLevel="3">
      <c r="A1182" s="162"/>
      <c r="B1182" s="152"/>
      <c r="C1182" s="236" t="s">
        <v>491</v>
      </c>
      <c r="D1182" s="344"/>
      <c r="E1182" s="164"/>
      <c r="F1182" s="165"/>
      <c r="G1182" s="172"/>
      <c r="H1182" s="164"/>
      <c r="I1182" s="219"/>
      <c r="J1182" s="219"/>
      <c r="K1182" s="218"/>
      <c r="L1182" s="234"/>
      <c r="M1182" s="202"/>
      <c r="N1182" s="525"/>
      <c r="O1182" s="203"/>
      <c r="P1182" s="252"/>
      <c r="Q1182" s="201"/>
      <c r="R1182" s="255"/>
      <c r="S1182" s="226"/>
      <c r="T1182" s="235"/>
      <c r="U1182" s="170"/>
    </row>
    <row r="1183" spans="1:21" ht="15.75" hidden="1" outlineLevel="3">
      <c r="A1183" s="162"/>
      <c r="B1183" s="152"/>
      <c r="C1183" s="236" t="s">
        <v>492</v>
      </c>
      <c r="D1183" s="344"/>
      <c r="E1183" s="164"/>
      <c r="F1183" s="165"/>
      <c r="G1183" s="172"/>
      <c r="H1183" s="164"/>
      <c r="I1183" s="219"/>
      <c r="J1183" s="219">
        <f>CIP!$AU$110</f>
        <v>0</v>
      </c>
      <c r="K1183" s="218"/>
      <c r="L1183" s="234">
        <f>SUM(G1183:K1183)</f>
        <v>0</v>
      </c>
      <c r="M1183" s="202"/>
      <c r="N1183" s="525"/>
      <c r="O1183" s="203"/>
      <c r="P1183" s="252"/>
      <c r="Q1183" s="201"/>
      <c r="R1183" s="255"/>
      <c r="S1183" s="159">
        <f t="shared" ref="S1183" si="71">SUM(L1183,N1183,P1183,R1183)</f>
        <v>0</v>
      </c>
      <c r="T1183" s="235"/>
      <c r="U1183" s="170" t="s">
        <v>1233</v>
      </c>
    </row>
    <row r="1184" spans="1:21" ht="15.75" hidden="1" outlineLevel="3">
      <c r="A1184" s="162"/>
      <c r="B1184" s="152"/>
      <c r="C1184" s="236" t="s">
        <v>493</v>
      </c>
      <c r="D1184" s="344"/>
      <c r="E1184" s="164"/>
      <c r="F1184" s="165"/>
      <c r="G1184" s="172"/>
      <c r="H1184" s="164"/>
      <c r="I1184" s="164"/>
      <c r="J1184" s="164"/>
      <c r="K1184" s="218"/>
      <c r="L1184" s="234"/>
      <c r="M1184" s="202"/>
      <c r="N1184" s="525"/>
      <c r="O1184" s="203"/>
      <c r="P1184" s="252"/>
      <c r="Q1184" s="201"/>
      <c r="R1184" s="255"/>
      <c r="S1184" s="226"/>
      <c r="T1184" s="235"/>
      <c r="U1184" s="170"/>
    </row>
    <row r="1185" spans="1:21" ht="15.75" hidden="1" outlineLevel="3">
      <c r="A1185" s="162"/>
      <c r="B1185" s="152"/>
      <c r="C1185" s="236" t="s">
        <v>494</v>
      </c>
      <c r="D1185" s="344"/>
      <c r="E1185" s="164"/>
      <c r="F1185" s="165"/>
      <c r="G1185" s="172"/>
      <c r="H1185" s="164"/>
      <c r="I1185" s="164"/>
      <c r="J1185" s="164"/>
      <c r="K1185" s="218"/>
      <c r="L1185" s="234"/>
      <c r="M1185" s="202"/>
      <c r="N1185" s="525"/>
      <c r="O1185" s="203"/>
      <c r="P1185" s="252"/>
      <c r="Q1185" s="201"/>
      <c r="R1185" s="255"/>
      <c r="S1185" s="226"/>
      <c r="T1185" s="235"/>
      <c r="U1185" s="161"/>
    </row>
    <row r="1186" spans="1:21" ht="15.75" hidden="1" outlineLevel="3">
      <c r="A1186" s="162"/>
      <c r="B1186" s="152"/>
      <c r="C1186" s="151" t="s">
        <v>507</v>
      </c>
      <c r="D1186" s="339"/>
      <c r="E1186" s="164"/>
      <c r="F1186" s="165"/>
      <c r="G1186" s="172"/>
      <c r="H1186" s="164"/>
      <c r="I1186" s="164"/>
      <c r="J1186" s="164"/>
      <c r="K1186" s="218"/>
      <c r="L1186" s="234"/>
      <c r="M1186" s="202"/>
      <c r="N1186" s="525"/>
      <c r="O1186" s="203"/>
      <c r="P1186" s="252"/>
      <c r="Q1186" s="201"/>
      <c r="R1186" s="255"/>
      <c r="S1186" s="226"/>
      <c r="T1186" s="235"/>
      <c r="U1186" s="170"/>
    </row>
    <row r="1187" spans="1:21" ht="15.75" hidden="1" outlineLevel="3">
      <c r="A1187" s="162"/>
      <c r="B1187" s="152"/>
      <c r="C1187" s="174" t="s">
        <v>496</v>
      </c>
      <c r="D1187" s="340"/>
      <c r="E1187" s="164"/>
      <c r="F1187" s="165"/>
      <c r="G1187" s="172"/>
      <c r="H1187" s="164"/>
      <c r="I1187" s="164"/>
      <c r="J1187" s="164"/>
      <c r="K1187" s="218"/>
      <c r="L1187" s="234"/>
      <c r="M1187" s="202"/>
      <c r="N1187" s="525"/>
      <c r="O1187" s="203"/>
      <c r="P1187" s="252"/>
      <c r="Q1187" s="201"/>
      <c r="R1187" s="255"/>
      <c r="S1187" s="226"/>
      <c r="T1187" s="235"/>
      <c r="U1187" s="170"/>
    </row>
    <row r="1188" spans="1:21" ht="15.75" hidden="1" outlineLevel="3">
      <c r="A1188" s="162"/>
      <c r="B1188" s="152"/>
      <c r="C1188" s="174" t="s">
        <v>497</v>
      </c>
      <c r="D1188" s="340"/>
      <c r="E1188" s="164"/>
      <c r="F1188" s="165"/>
      <c r="G1188" s="172"/>
      <c r="H1188" s="164"/>
      <c r="I1188" s="164"/>
      <c r="J1188" s="164"/>
      <c r="K1188" s="218"/>
      <c r="L1188" s="234"/>
      <c r="M1188" s="202"/>
      <c r="N1188" s="525"/>
      <c r="O1188" s="203"/>
      <c r="P1188" s="252"/>
      <c r="Q1188" s="201"/>
      <c r="R1188" s="255"/>
      <c r="S1188" s="226"/>
      <c r="T1188" s="235"/>
      <c r="U1188" s="170"/>
    </row>
    <row r="1189" spans="1:21" ht="15.75" hidden="1" outlineLevel="3">
      <c r="A1189" s="162"/>
      <c r="B1189" s="152"/>
      <c r="C1189" s="174" t="s">
        <v>499</v>
      </c>
      <c r="D1189" s="340"/>
      <c r="E1189" s="164"/>
      <c r="F1189" s="165"/>
      <c r="G1189" s="172"/>
      <c r="H1189" s="164"/>
      <c r="I1189" s="164"/>
      <c r="J1189" s="164"/>
      <c r="K1189" s="218"/>
      <c r="L1189" s="234"/>
      <c r="M1189" s="202"/>
      <c r="N1189" s="525"/>
      <c r="O1189" s="203"/>
      <c r="P1189" s="252"/>
      <c r="Q1189" s="201"/>
      <c r="R1189" s="255"/>
      <c r="S1189" s="226"/>
      <c r="T1189" s="235"/>
      <c r="U1189" s="170"/>
    </row>
    <row r="1190" spans="1:21" ht="15.75" hidden="1" outlineLevel="3">
      <c r="A1190" s="162"/>
      <c r="B1190" s="152"/>
      <c r="C1190" s="174" t="s">
        <v>526</v>
      </c>
      <c r="D1190" s="340"/>
      <c r="E1190" s="164"/>
      <c r="F1190" s="165"/>
      <c r="G1190" s="172"/>
      <c r="H1190" s="164"/>
      <c r="I1190" s="164"/>
      <c r="J1190" s="164"/>
      <c r="K1190" s="218"/>
      <c r="L1190" s="234"/>
      <c r="M1190" s="202"/>
      <c r="N1190" s="525"/>
      <c r="O1190" s="203"/>
      <c r="P1190" s="252"/>
      <c r="Q1190" s="201"/>
      <c r="R1190" s="255"/>
      <c r="S1190" s="226"/>
      <c r="T1190" s="235"/>
      <c r="U1190" s="161"/>
    </row>
    <row r="1191" spans="1:21" ht="15.75" hidden="1" outlineLevel="3">
      <c r="A1191" s="162"/>
      <c r="B1191" s="152"/>
      <c r="C1191" s="174" t="s">
        <v>646</v>
      </c>
      <c r="D1191" s="340"/>
      <c r="E1191" s="164"/>
      <c r="F1191" s="165"/>
      <c r="G1191" s="172"/>
      <c r="H1191" s="164"/>
      <c r="I1191" s="164"/>
      <c r="J1191" s="164"/>
      <c r="K1191" s="218"/>
      <c r="L1191" s="234"/>
      <c r="M1191" s="203">
        <v>7230000</v>
      </c>
      <c r="N1191" s="525">
        <f>M1191*1.23</f>
        <v>8892900</v>
      </c>
      <c r="O1191" s="203"/>
      <c r="P1191" s="252"/>
      <c r="Q1191" s="528"/>
      <c r="R1191" s="255"/>
      <c r="S1191" s="159">
        <f t="shared" ref="S1191:S1192" si="72">SUM(L1191,N1191,P1191,R1191)</f>
        <v>8892900</v>
      </c>
      <c r="T1191" s="235"/>
      <c r="U1191" s="161" t="s">
        <v>647</v>
      </c>
    </row>
    <row r="1192" spans="1:21" s="135" customFormat="1" ht="15.75" hidden="1" outlineLevel="2" collapsed="1">
      <c r="A1192" s="229"/>
      <c r="B1192" s="289"/>
      <c r="C1192" s="151" t="s">
        <v>645</v>
      </c>
      <c r="D1192" s="339"/>
      <c r="E1192" s="244"/>
      <c r="F1192" s="248"/>
      <c r="G1192" s="249"/>
      <c r="H1192" s="244">
        <f>SUM(H1165:H1191)</f>
        <v>0</v>
      </c>
      <c r="I1192" s="244">
        <f>SUM(I1166:I1191)</f>
        <v>0</v>
      </c>
      <c r="J1192" s="244">
        <f>SUM(J1171:J1191)</f>
        <v>0</v>
      </c>
      <c r="K1192" s="523"/>
      <c r="L1192" s="226">
        <f>SUM(L1167:L1191)</f>
        <v>0</v>
      </c>
      <c r="M1192" s="203">
        <v>7230000</v>
      </c>
      <c r="N1192" s="251">
        <f>M1192*1.23</f>
        <v>8892900</v>
      </c>
      <c r="O1192" s="203"/>
      <c r="P1192" s="251"/>
      <c r="Q1192" s="201"/>
      <c r="R1192" s="255"/>
      <c r="S1192" s="159">
        <f t="shared" si="72"/>
        <v>8892900</v>
      </c>
      <c r="T1192" s="235"/>
      <c r="U1192" s="170"/>
    </row>
    <row r="1193" spans="1:21" s="233" customFormat="1" hidden="1" outlineLevel="3">
      <c r="A1193" s="232"/>
      <c r="B1193" s="151" t="s">
        <v>648</v>
      </c>
      <c r="C1193" s="171"/>
      <c r="D1193" s="343"/>
      <c r="E1193" s="157"/>
      <c r="F1193" s="158"/>
      <c r="G1193" s="197"/>
      <c r="H1193" s="157"/>
      <c r="I1193" s="157"/>
      <c r="J1193" s="157"/>
      <c r="K1193" s="222"/>
      <c r="L1193" s="167"/>
      <c r="M1193" s="202"/>
      <c r="N1193" s="525"/>
      <c r="O1193" s="203"/>
      <c r="P1193" s="252"/>
      <c r="Q1193" s="201"/>
      <c r="R1193" s="255"/>
      <c r="S1193" s="245"/>
      <c r="T1193" s="246"/>
      <c r="U1193" s="170"/>
    </row>
    <row r="1194" spans="1:21" ht="15.75" hidden="1" outlineLevel="3">
      <c r="A1194" s="162"/>
      <c r="B1194" s="152"/>
      <c r="C1194" s="151" t="s">
        <v>503</v>
      </c>
      <c r="D1194" s="339"/>
      <c r="E1194" s="164"/>
      <c r="F1194" s="165"/>
      <c r="G1194" s="172"/>
      <c r="H1194" s="164"/>
      <c r="I1194" s="164"/>
      <c r="J1194" s="164"/>
      <c r="K1194" s="218"/>
      <c r="L1194" s="234"/>
      <c r="M1194" s="202"/>
      <c r="N1194" s="525"/>
      <c r="O1194" s="203"/>
      <c r="P1194" s="252"/>
      <c r="Q1194" s="201"/>
      <c r="R1194" s="255"/>
      <c r="S1194" s="226"/>
      <c r="T1194" s="235"/>
      <c r="U1194" s="170"/>
    </row>
    <row r="1195" spans="1:21" ht="15.75" hidden="1" outlineLevel="3">
      <c r="A1195" s="162"/>
      <c r="B1195" s="152"/>
      <c r="C1195" s="236" t="s">
        <v>520</v>
      </c>
      <c r="D1195" s="344"/>
      <c r="E1195" s="164"/>
      <c r="F1195" s="165"/>
      <c r="G1195" s="172"/>
      <c r="H1195" s="164"/>
      <c r="I1195" s="164"/>
      <c r="J1195" s="164"/>
      <c r="K1195" s="218"/>
      <c r="L1195" s="234"/>
      <c r="M1195" s="202"/>
      <c r="N1195" s="525"/>
      <c r="O1195" s="203"/>
      <c r="P1195" s="252"/>
      <c r="Q1195" s="201"/>
      <c r="R1195" s="255"/>
      <c r="S1195" s="226"/>
      <c r="T1195" s="235"/>
      <c r="U1195" s="170"/>
    </row>
    <row r="1196" spans="1:21" ht="15.75" hidden="1" outlineLevel="3">
      <c r="A1196" s="162"/>
      <c r="B1196" s="152"/>
      <c r="C1196" s="236" t="s">
        <v>478</v>
      </c>
      <c r="D1196" s="344"/>
      <c r="E1196" s="164"/>
      <c r="F1196" s="165"/>
      <c r="G1196" s="172"/>
      <c r="H1196" s="164"/>
      <c r="I1196" s="164"/>
      <c r="J1196" s="164"/>
      <c r="K1196" s="218"/>
      <c r="L1196" s="234"/>
      <c r="M1196" s="202"/>
      <c r="N1196" s="525"/>
      <c r="O1196" s="203"/>
      <c r="P1196" s="252"/>
      <c r="Q1196" s="201"/>
      <c r="R1196" s="255"/>
      <c r="S1196" s="226"/>
      <c r="T1196" s="235"/>
      <c r="U1196" s="170"/>
    </row>
    <row r="1197" spans="1:21" ht="15.75" hidden="1" outlineLevel="3">
      <c r="A1197" s="162"/>
      <c r="B1197" s="152"/>
      <c r="C1197" s="236" t="s">
        <v>479</v>
      </c>
      <c r="D1197" s="344"/>
      <c r="E1197" s="164"/>
      <c r="F1197" s="165"/>
      <c r="G1197" s="172"/>
      <c r="H1197" s="164"/>
      <c r="I1197" s="164"/>
      <c r="J1197" s="164"/>
      <c r="K1197" s="218"/>
      <c r="L1197" s="220"/>
      <c r="M1197" s="204"/>
      <c r="N1197" s="525"/>
      <c r="O1197" s="203"/>
      <c r="P1197" s="252"/>
      <c r="Q1197" s="201"/>
      <c r="R1197" s="255"/>
      <c r="S1197" s="226"/>
      <c r="T1197" s="235"/>
      <c r="U1197" s="170"/>
    </row>
    <row r="1198" spans="1:21" ht="15.75" hidden="1" outlineLevel="3">
      <c r="A1198" s="162"/>
      <c r="B1198" s="152"/>
      <c r="C1198" s="236" t="s">
        <v>480</v>
      </c>
      <c r="D1198" s="344"/>
      <c r="E1198" s="164"/>
      <c r="F1198" s="165"/>
      <c r="G1198" s="172"/>
      <c r="H1198" s="164"/>
      <c r="I1198" s="164"/>
      <c r="J1198" s="164"/>
      <c r="K1198" s="218"/>
      <c r="L1198" s="234"/>
      <c r="M1198" s="202"/>
      <c r="N1198" s="525"/>
      <c r="O1198" s="203"/>
      <c r="P1198" s="252"/>
      <c r="Q1198" s="201"/>
      <c r="R1198" s="255"/>
      <c r="S1198" s="226"/>
      <c r="T1198" s="235"/>
      <c r="U1198" s="170"/>
    </row>
    <row r="1199" spans="1:21" ht="15.75" hidden="1" outlineLevel="3">
      <c r="A1199" s="162"/>
      <c r="B1199" s="152"/>
      <c r="C1199" s="236" t="s">
        <v>512</v>
      </c>
      <c r="D1199" s="344"/>
      <c r="E1199" s="164"/>
      <c r="F1199" s="165"/>
      <c r="G1199" s="172"/>
      <c r="H1199" s="164"/>
      <c r="I1199" s="164"/>
      <c r="J1199" s="164"/>
      <c r="K1199" s="218"/>
      <c r="L1199" s="234"/>
      <c r="M1199" s="238">
        <v>140000</v>
      </c>
      <c r="N1199" s="525">
        <f>M1199*1.23</f>
        <v>172200</v>
      </c>
      <c r="O1199" s="203"/>
      <c r="P1199" s="252"/>
      <c r="Q1199" s="201"/>
      <c r="R1199" s="255"/>
      <c r="S1199" s="159">
        <f t="shared" ref="S1199:S1201" si="73">SUM(L1199,N1199,P1199,R1199)</f>
        <v>172200</v>
      </c>
      <c r="T1199" s="235"/>
      <c r="U1199" s="170"/>
    </row>
    <row r="1200" spans="1:21" ht="15.75" hidden="1" outlineLevel="3">
      <c r="A1200" s="162"/>
      <c r="B1200" s="152"/>
      <c r="C1200" s="151" t="s">
        <v>504</v>
      </c>
      <c r="D1200" s="339"/>
      <c r="E1200" s="164"/>
      <c r="F1200" s="165"/>
      <c r="G1200" s="172"/>
      <c r="H1200" s="164"/>
      <c r="I1200" s="164"/>
      <c r="J1200" s="164"/>
      <c r="K1200" s="218"/>
      <c r="L1200" s="234"/>
      <c r="M1200" s="202"/>
      <c r="N1200" s="525"/>
      <c r="O1200" s="203"/>
      <c r="P1200" s="252"/>
      <c r="Q1200" s="201"/>
      <c r="R1200" s="255"/>
      <c r="S1200" s="226"/>
      <c r="T1200" s="235"/>
      <c r="U1200" s="170"/>
    </row>
    <row r="1201" spans="1:21" ht="15.75" hidden="1" outlineLevel="3">
      <c r="A1201" s="162"/>
      <c r="B1201" s="152"/>
      <c r="C1201" s="236" t="s">
        <v>483</v>
      </c>
      <c r="D1201" s="344"/>
      <c r="E1201" s="164"/>
      <c r="F1201" s="165"/>
      <c r="G1201" s="172"/>
      <c r="H1201" s="164"/>
      <c r="I1201" s="164"/>
      <c r="J1201" s="219">
        <f>CIP!$AU$99</f>
        <v>0</v>
      </c>
      <c r="K1201" s="218"/>
      <c r="L1201" s="234">
        <f>SUM(G1201:K1201)</f>
        <v>0</v>
      </c>
      <c r="M1201" s="202"/>
      <c r="N1201" s="525"/>
      <c r="O1201" s="203"/>
      <c r="P1201" s="252"/>
      <c r="Q1201" s="201"/>
      <c r="R1201" s="255"/>
      <c r="S1201" s="159">
        <f t="shared" si="73"/>
        <v>0</v>
      </c>
      <c r="T1201" s="235"/>
      <c r="U1201" s="170"/>
    </row>
    <row r="1202" spans="1:21" ht="15.75" hidden="1" outlineLevel="3">
      <c r="A1202" s="162"/>
      <c r="B1202" s="152"/>
      <c r="C1202" s="236" t="s">
        <v>484</v>
      </c>
      <c r="D1202" s="344"/>
      <c r="E1202" s="164"/>
      <c r="F1202" s="165"/>
      <c r="G1202" s="172"/>
      <c r="H1202" s="164"/>
      <c r="I1202" s="164"/>
      <c r="J1202" s="164"/>
      <c r="K1202" s="218"/>
      <c r="L1202" s="234"/>
      <c r="M1202" s="202"/>
      <c r="N1202" s="525"/>
      <c r="O1202" s="203"/>
      <c r="P1202" s="252"/>
      <c r="Q1202" s="201"/>
      <c r="R1202" s="255"/>
      <c r="S1202" s="226"/>
      <c r="T1202" s="235"/>
      <c r="U1202" s="170"/>
    </row>
    <row r="1203" spans="1:21" ht="15.75" hidden="1" outlineLevel="3">
      <c r="A1203" s="162"/>
      <c r="B1203" s="152"/>
      <c r="C1203" s="236" t="s">
        <v>479</v>
      </c>
      <c r="D1203" s="344"/>
      <c r="E1203" s="164"/>
      <c r="F1203" s="165"/>
      <c r="G1203" s="172"/>
      <c r="H1203" s="164"/>
      <c r="I1203" s="164"/>
      <c r="J1203" s="164"/>
      <c r="K1203" s="218"/>
      <c r="L1203" s="234"/>
      <c r="M1203" s="202"/>
      <c r="N1203" s="525"/>
      <c r="O1203" s="203"/>
      <c r="P1203" s="252"/>
      <c r="Q1203" s="201"/>
      <c r="R1203" s="255"/>
      <c r="S1203" s="226"/>
      <c r="T1203" s="235"/>
      <c r="U1203" s="170"/>
    </row>
    <row r="1204" spans="1:21" ht="15.75" hidden="1" outlineLevel="3">
      <c r="A1204" s="162"/>
      <c r="B1204" s="152"/>
      <c r="C1204" s="236" t="s">
        <v>485</v>
      </c>
      <c r="D1204" s="344"/>
      <c r="E1204" s="164"/>
      <c r="F1204" s="165"/>
      <c r="G1204" s="172"/>
      <c r="H1204" s="164"/>
      <c r="I1204" s="164"/>
      <c r="J1204" s="164"/>
      <c r="K1204" s="218"/>
      <c r="L1204" s="234"/>
      <c r="M1204" s="202"/>
      <c r="N1204" s="525"/>
      <c r="O1204" s="203"/>
      <c r="P1204" s="252"/>
      <c r="Q1204" s="201"/>
      <c r="R1204" s="255"/>
      <c r="S1204" s="226"/>
      <c r="T1204" s="235"/>
      <c r="U1204" s="170"/>
    </row>
    <row r="1205" spans="1:21" ht="15.75" hidden="1" outlineLevel="3">
      <c r="A1205" s="162"/>
      <c r="B1205" s="152"/>
      <c r="C1205" s="151" t="s">
        <v>505</v>
      </c>
      <c r="D1205" s="339"/>
      <c r="E1205" s="164"/>
      <c r="F1205" s="165"/>
      <c r="G1205" s="172"/>
      <c r="H1205" s="164"/>
      <c r="I1205" s="164"/>
      <c r="J1205" s="164"/>
      <c r="K1205" s="218"/>
      <c r="L1205" s="234"/>
      <c r="M1205" s="202"/>
      <c r="N1205" s="525"/>
      <c r="O1205" s="203"/>
      <c r="P1205" s="252"/>
      <c r="Q1205" s="201"/>
      <c r="R1205" s="255"/>
      <c r="S1205" s="226"/>
      <c r="T1205" s="235"/>
      <c r="U1205" s="170"/>
    </row>
    <row r="1206" spans="1:21" ht="15.75" hidden="1" outlineLevel="3">
      <c r="A1206" s="162"/>
      <c r="B1206" s="152"/>
      <c r="C1206" s="236" t="s">
        <v>487</v>
      </c>
      <c r="D1206" s="344"/>
      <c r="E1206" s="164"/>
      <c r="F1206" s="165"/>
      <c r="G1206" s="172"/>
      <c r="H1206" s="164"/>
      <c r="I1206" s="164"/>
      <c r="J1206" s="164"/>
      <c r="K1206" s="218"/>
      <c r="L1206" s="234"/>
      <c r="M1206" s="202"/>
      <c r="N1206" s="525"/>
      <c r="O1206" s="203"/>
      <c r="P1206" s="252"/>
      <c r="Q1206" s="201"/>
      <c r="R1206" s="255"/>
      <c r="S1206" s="226"/>
      <c r="T1206" s="235"/>
      <c r="U1206" s="170"/>
    </row>
    <row r="1207" spans="1:21" ht="15.75" hidden="1" outlineLevel="3">
      <c r="A1207" s="162"/>
      <c r="B1207" s="152"/>
      <c r="C1207" s="236" t="s">
        <v>479</v>
      </c>
      <c r="D1207" s="344"/>
      <c r="E1207" s="164"/>
      <c r="F1207" s="165"/>
      <c r="G1207" s="172"/>
      <c r="H1207" s="164"/>
      <c r="I1207" s="164"/>
      <c r="J1207" s="164"/>
      <c r="K1207" s="218"/>
      <c r="L1207" s="234"/>
      <c r="M1207" s="202"/>
      <c r="N1207" s="525"/>
      <c r="O1207" s="203"/>
      <c r="P1207" s="252"/>
      <c r="Q1207" s="201"/>
      <c r="R1207" s="255"/>
      <c r="S1207" s="226"/>
      <c r="T1207" s="235"/>
      <c r="U1207" s="170"/>
    </row>
    <row r="1208" spans="1:21" ht="15.75" hidden="1" outlineLevel="3">
      <c r="A1208" s="162"/>
      <c r="B1208" s="152"/>
      <c r="C1208" s="236" t="s">
        <v>488</v>
      </c>
      <c r="D1208" s="344"/>
      <c r="E1208" s="164"/>
      <c r="F1208" s="165"/>
      <c r="G1208" s="172"/>
      <c r="H1208" s="164"/>
      <c r="I1208" s="164"/>
      <c r="J1208" s="164"/>
      <c r="K1208" s="218"/>
      <c r="L1208" s="234"/>
      <c r="M1208" s="202"/>
      <c r="N1208" s="525"/>
      <c r="O1208" s="203"/>
      <c r="P1208" s="252"/>
      <c r="Q1208" s="201"/>
      <c r="R1208" s="255"/>
      <c r="S1208" s="226"/>
      <c r="T1208" s="235"/>
      <c r="U1208" s="170"/>
    </row>
    <row r="1209" spans="1:21" ht="15.75" hidden="1" outlineLevel="3">
      <c r="A1209" s="162"/>
      <c r="B1209" s="152"/>
      <c r="C1209" s="236" t="s">
        <v>489</v>
      </c>
      <c r="D1209" s="344"/>
      <c r="E1209" s="164"/>
      <c r="F1209" s="165"/>
      <c r="G1209" s="172"/>
      <c r="H1209" s="164"/>
      <c r="I1209" s="164"/>
      <c r="J1209" s="164"/>
      <c r="K1209" s="218"/>
      <c r="L1209" s="234"/>
      <c r="M1209" s="202"/>
      <c r="N1209" s="525"/>
      <c r="O1209" s="203"/>
      <c r="P1209" s="252"/>
      <c r="Q1209" s="201"/>
      <c r="R1209" s="255"/>
      <c r="S1209" s="226"/>
      <c r="T1209" s="235"/>
      <c r="U1209" s="170"/>
    </row>
    <row r="1210" spans="1:21" ht="15.75" hidden="1" outlineLevel="3">
      <c r="A1210" s="162"/>
      <c r="B1210" s="152"/>
      <c r="C1210" s="151" t="s">
        <v>506</v>
      </c>
      <c r="D1210" s="339"/>
      <c r="E1210" s="164"/>
      <c r="F1210" s="165"/>
      <c r="G1210" s="172"/>
      <c r="H1210" s="164"/>
      <c r="I1210" s="164"/>
      <c r="J1210" s="164"/>
      <c r="K1210" s="218"/>
      <c r="L1210" s="234"/>
      <c r="M1210" s="202"/>
      <c r="N1210" s="525"/>
      <c r="O1210" s="203"/>
      <c r="P1210" s="252"/>
      <c r="Q1210" s="201"/>
      <c r="R1210" s="255"/>
      <c r="S1210" s="226"/>
      <c r="T1210" s="235"/>
      <c r="U1210" s="170"/>
    </row>
    <row r="1211" spans="1:21" ht="15.75" hidden="1" outlineLevel="3">
      <c r="A1211" s="162"/>
      <c r="B1211" s="152"/>
      <c r="C1211" s="236" t="s">
        <v>491</v>
      </c>
      <c r="D1211" s="344"/>
      <c r="E1211" s="164"/>
      <c r="F1211" s="165"/>
      <c r="G1211" s="172"/>
      <c r="H1211" s="164"/>
      <c r="I1211" s="164"/>
      <c r="J1211" s="164"/>
      <c r="K1211" s="218"/>
      <c r="L1211" s="234"/>
      <c r="M1211" s="238">
        <v>166000</v>
      </c>
      <c r="N1211" s="525">
        <f>M1211*1.23</f>
        <v>204180</v>
      </c>
      <c r="O1211" s="203"/>
      <c r="P1211" s="252"/>
      <c r="Q1211" s="201"/>
      <c r="R1211" s="255"/>
      <c r="S1211" s="159">
        <f t="shared" ref="S1211:S1221" si="74">SUM(L1211,N1211,P1211,R1211)</f>
        <v>204180</v>
      </c>
      <c r="T1211" s="235"/>
      <c r="U1211" s="170"/>
    </row>
    <row r="1212" spans="1:21" ht="15.75" hidden="1" outlineLevel="3">
      <c r="A1212" s="162"/>
      <c r="B1212" s="152"/>
      <c r="C1212" s="236" t="s">
        <v>492</v>
      </c>
      <c r="D1212" s="344"/>
      <c r="E1212" s="164"/>
      <c r="F1212" s="165"/>
      <c r="G1212" s="172"/>
      <c r="H1212" s="164"/>
      <c r="I1212" s="219"/>
      <c r="J1212" s="219">
        <f>CIP!$AU$111</f>
        <v>0</v>
      </c>
      <c r="K1212" s="218"/>
      <c r="L1212" s="234">
        <f>SUM(G1212:K1212)</f>
        <v>0</v>
      </c>
      <c r="M1212" s="202"/>
      <c r="N1212" s="525"/>
      <c r="O1212" s="203"/>
      <c r="P1212" s="252"/>
      <c r="Q1212" s="201"/>
      <c r="R1212" s="255"/>
      <c r="S1212" s="159">
        <f t="shared" si="74"/>
        <v>0</v>
      </c>
      <c r="T1212" s="235"/>
      <c r="U1212" s="170"/>
    </row>
    <row r="1213" spans="1:21" ht="15.75" hidden="1" outlineLevel="3">
      <c r="A1213" s="162"/>
      <c r="B1213" s="152"/>
      <c r="C1213" s="236" t="s">
        <v>493</v>
      </c>
      <c r="D1213" s="344"/>
      <c r="E1213" s="164"/>
      <c r="F1213" s="165"/>
      <c r="G1213" s="172"/>
      <c r="H1213" s="164"/>
      <c r="I1213" s="164"/>
      <c r="J1213" s="164"/>
      <c r="K1213" s="218"/>
      <c r="L1213" s="234"/>
      <c r="M1213" s="202"/>
      <c r="N1213" s="525"/>
      <c r="O1213" s="203"/>
      <c r="P1213" s="252"/>
      <c r="Q1213" s="201"/>
      <c r="R1213" s="255"/>
      <c r="S1213" s="159"/>
      <c r="T1213" s="235"/>
      <c r="U1213" s="170"/>
    </row>
    <row r="1214" spans="1:21" ht="15.75" hidden="1" outlineLevel="3">
      <c r="A1214" s="162"/>
      <c r="B1214" s="152"/>
      <c r="C1214" s="236" t="s">
        <v>494</v>
      </c>
      <c r="D1214" s="344"/>
      <c r="E1214" s="164"/>
      <c r="F1214" s="165"/>
      <c r="G1214" s="172"/>
      <c r="H1214" s="164"/>
      <c r="I1214" s="164"/>
      <c r="J1214" s="164"/>
      <c r="K1214" s="218"/>
      <c r="L1214" s="234"/>
      <c r="M1214" s="202"/>
      <c r="N1214" s="525"/>
      <c r="O1214" s="203"/>
      <c r="P1214" s="252"/>
      <c r="Q1214" s="201"/>
      <c r="R1214" s="255"/>
      <c r="S1214" s="159"/>
      <c r="T1214" s="235"/>
      <c r="U1214" s="161"/>
    </row>
    <row r="1215" spans="1:21" ht="15.75" hidden="1" outlineLevel="3">
      <c r="A1215" s="162"/>
      <c r="B1215" s="152"/>
      <c r="C1215" s="151" t="s">
        <v>507</v>
      </c>
      <c r="D1215" s="339"/>
      <c r="E1215" s="164"/>
      <c r="F1215" s="165"/>
      <c r="G1215" s="172"/>
      <c r="H1215" s="164"/>
      <c r="I1215" s="164"/>
      <c r="J1215" s="164"/>
      <c r="K1215" s="218"/>
      <c r="L1215" s="234"/>
      <c r="M1215" s="202"/>
      <c r="N1215" s="525"/>
      <c r="O1215" s="203"/>
      <c r="P1215" s="252"/>
      <c r="Q1215" s="201"/>
      <c r="R1215" s="255"/>
      <c r="S1215" s="159"/>
      <c r="T1215" s="235"/>
      <c r="U1215" s="170"/>
    </row>
    <row r="1216" spans="1:21" ht="15.75" hidden="1" outlineLevel="3">
      <c r="A1216" s="162"/>
      <c r="B1216" s="152"/>
      <c r="C1216" s="174" t="s">
        <v>496</v>
      </c>
      <c r="D1216" s="340"/>
      <c r="E1216" s="164"/>
      <c r="F1216" s="165"/>
      <c r="G1216" s="172"/>
      <c r="H1216" s="164"/>
      <c r="I1216" s="164"/>
      <c r="J1216" s="164"/>
      <c r="K1216" s="218"/>
      <c r="L1216" s="234"/>
      <c r="M1216" s="202"/>
      <c r="N1216" s="525"/>
      <c r="O1216" s="203"/>
      <c r="P1216" s="252"/>
      <c r="Q1216" s="201"/>
      <c r="R1216" s="255"/>
      <c r="S1216" s="159"/>
      <c r="T1216" s="235"/>
      <c r="U1216" s="170"/>
    </row>
    <row r="1217" spans="1:21" ht="15.75" hidden="1" outlineLevel="3">
      <c r="A1217" s="162"/>
      <c r="B1217" s="152"/>
      <c r="C1217" s="174" t="s">
        <v>497</v>
      </c>
      <c r="D1217" s="340"/>
      <c r="E1217" s="164"/>
      <c r="F1217" s="165"/>
      <c r="G1217" s="172"/>
      <c r="H1217" s="164"/>
      <c r="I1217" s="164"/>
      <c r="J1217" s="164"/>
      <c r="K1217" s="218"/>
      <c r="L1217" s="234"/>
      <c r="M1217" s="202"/>
      <c r="N1217" s="525"/>
      <c r="O1217" s="203"/>
      <c r="P1217" s="252"/>
      <c r="Q1217" s="201"/>
      <c r="R1217" s="255"/>
      <c r="S1217" s="159"/>
      <c r="T1217" s="235"/>
      <c r="U1217" s="170"/>
    </row>
    <row r="1218" spans="1:21" ht="15.75" hidden="1" outlineLevel="3">
      <c r="A1218" s="162"/>
      <c r="B1218" s="152"/>
      <c r="C1218" s="174" t="s">
        <v>499</v>
      </c>
      <c r="D1218" s="340"/>
      <c r="E1218" s="164"/>
      <c r="F1218" s="165"/>
      <c r="G1218" s="172"/>
      <c r="H1218" s="164"/>
      <c r="I1218" s="164"/>
      <c r="J1218" s="164"/>
      <c r="K1218" s="218"/>
      <c r="L1218" s="234"/>
      <c r="M1218" s="202"/>
      <c r="N1218" s="525"/>
      <c r="O1218" s="203"/>
      <c r="P1218" s="252"/>
      <c r="Q1218" s="201"/>
      <c r="R1218" s="255"/>
      <c r="S1218" s="159"/>
      <c r="T1218" s="235"/>
      <c r="U1218" s="170"/>
    </row>
    <row r="1219" spans="1:21" ht="15.75" hidden="1" outlineLevel="3">
      <c r="A1219" s="162"/>
      <c r="B1219" s="152"/>
      <c r="C1219" s="174" t="s">
        <v>526</v>
      </c>
      <c r="D1219" s="340"/>
      <c r="E1219" s="164"/>
      <c r="F1219" s="165"/>
      <c r="G1219" s="172"/>
      <c r="H1219" s="164"/>
      <c r="I1219" s="164"/>
      <c r="J1219" s="164"/>
      <c r="K1219" s="218"/>
      <c r="L1219" s="234"/>
      <c r="M1219" s="202"/>
      <c r="N1219" s="525"/>
      <c r="O1219" s="203"/>
      <c r="P1219" s="252"/>
      <c r="Q1219" s="201"/>
      <c r="R1219" s="255"/>
      <c r="S1219" s="159"/>
      <c r="T1219" s="235"/>
      <c r="U1219" s="161"/>
    </row>
    <row r="1220" spans="1:21" ht="15.75" hidden="1" outlineLevel="3">
      <c r="A1220" s="162"/>
      <c r="B1220" s="152"/>
      <c r="C1220" s="174" t="s">
        <v>646</v>
      </c>
      <c r="D1220" s="340"/>
      <c r="E1220" s="164"/>
      <c r="F1220" s="165"/>
      <c r="G1220" s="172"/>
      <c r="H1220" s="164"/>
      <c r="I1220" s="164"/>
      <c r="J1220" s="164"/>
      <c r="K1220" s="218"/>
      <c r="L1220" s="234"/>
      <c r="M1220" s="202"/>
      <c r="N1220" s="525"/>
      <c r="O1220" s="201">
        <v>7700000</v>
      </c>
      <c r="P1220" s="252">
        <f>O1220*1.46</f>
        <v>11242000</v>
      </c>
      <c r="Q1220" s="201"/>
      <c r="R1220" s="255"/>
      <c r="S1220" s="159">
        <f t="shared" si="74"/>
        <v>11242000</v>
      </c>
      <c r="T1220" s="235"/>
      <c r="U1220" s="161"/>
    </row>
    <row r="1221" spans="1:21" s="135" customFormat="1" ht="15.75" hidden="1" outlineLevel="2" collapsed="1">
      <c r="A1221" s="229"/>
      <c r="B1221" s="289"/>
      <c r="C1221" s="151" t="s">
        <v>648</v>
      </c>
      <c r="D1221" s="339"/>
      <c r="E1221" s="244"/>
      <c r="F1221" s="248"/>
      <c r="G1221" s="249"/>
      <c r="H1221" s="244"/>
      <c r="I1221" s="244"/>
      <c r="J1221" s="244">
        <f>SUM(J1194:J1220)</f>
        <v>0</v>
      </c>
      <c r="K1221" s="523"/>
      <c r="L1221" s="226">
        <f>SUM(G1221:K1221)</f>
        <v>0</v>
      </c>
      <c r="M1221" s="202">
        <f>SUM(M1196:M1220)</f>
        <v>306000</v>
      </c>
      <c r="N1221" s="251">
        <f>M1221*1.23</f>
        <v>376380</v>
      </c>
      <c r="O1221" s="201">
        <v>7700000</v>
      </c>
      <c r="P1221" s="251">
        <f>O1221*1.46</f>
        <v>11242000</v>
      </c>
      <c r="Q1221" s="201"/>
      <c r="R1221" s="255"/>
      <c r="S1221" s="159">
        <f t="shared" si="74"/>
        <v>11618380</v>
      </c>
      <c r="T1221" s="235"/>
      <c r="U1221" s="170"/>
    </row>
    <row r="1222" spans="1:21" s="233" customFormat="1" hidden="1" outlineLevel="3">
      <c r="A1222" s="232"/>
      <c r="B1222" s="151" t="s">
        <v>649</v>
      </c>
      <c r="C1222" s="171"/>
      <c r="D1222" s="343"/>
      <c r="E1222" s="157"/>
      <c r="F1222" s="158"/>
      <c r="G1222" s="197"/>
      <c r="H1222" s="157"/>
      <c r="I1222" s="157"/>
      <c r="J1222" s="157"/>
      <c r="K1222" s="222"/>
      <c r="L1222" s="167"/>
      <c r="M1222" s="202"/>
      <c r="N1222" s="525"/>
      <c r="O1222" s="203"/>
      <c r="P1222" s="252"/>
      <c r="Q1222" s="201"/>
      <c r="R1222" s="255"/>
      <c r="S1222" s="245"/>
      <c r="T1222" s="246"/>
      <c r="U1222" s="170"/>
    </row>
    <row r="1223" spans="1:21" ht="15.75" hidden="1" outlineLevel="3">
      <c r="A1223" s="162"/>
      <c r="B1223" s="152"/>
      <c r="C1223" s="151" t="s">
        <v>503</v>
      </c>
      <c r="D1223" s="339"/>
      <c r="E1223" s="164"/>
      <c r="F1223" s="165"/>
      <c r="G1223" s="172"/>
      <c r="H1223" s="164"/>
      <c r="I1223" s="164"/>
      <c r="J1223" s="164"/>
      <c r="K1223" s="218"/>
      <c r="L1223" s="234"/>
      <c r="M1223" s="202"/>
      <c r="N1223" s="525"/>
      <c r="O1223" s="203"/>
      <c r="P1223" s="252"/>
      <c r="Q1223" s="201"/>
      <c r="R1223" s="255"/>
      <c r="S1223" s="226"/>
      <c r="T1223" s="235"/>
      <c r="U1223" s="170"/>
    </row>
    <row r="1224" spans="1:21" ht="15.75" hidden="1" outlineLevel="3">
      <c r="A1224" s="162"/>
      <c r="B1224" s="152"/>
      <c r="C1224" s="236" t="s">
        <v>520</v>
      </c>
      <c r="D1224" s="344"/>
      <c r="E1224" s="164"/>
      <c r="F1224" s="165"/>
      <c r="G1224" s="172"/>
      <c r="H1224" s="164"/>
      <c r="I1224" s="164"/>
      <c r="J1224" s="164"/>
      <c r="K1224" s="218"/>
      <c r="L1224" s="234"/>
      <c r="M1224" s="202"/>
      <c r="N1224" s="525"/>
      <c r="O1224" s="203"/>
      <c r="P1224" s="252"/>
      <c r="Q1224" s="201"/>
      <c r="R1224" s="255"/>
      <c r="S1224" s="226"/>
      <c r="T1224" s="235"/>
      <c r="U1224" s="170"/>
    </row>
    <row r="1225" spans="1:21" ht="15.75" hidden="1" outlineLevel="3">
      <c r="A1225" s="162"/>
      <c r="B1225" s="152"/>
      <c r="C1225" s="236" t="s">
        <v>478</v>
      </c>
      <c r="D1225" s="344"/>
      <c r="E1225" s="164"/>
      <c r="F1225" s="165"/>
      <c r="G1225" s="172"/>
      <c r="H1225" s="164"/>
      <c r="I1225" s="164"/>
      <c r="J1225" s="164"/>
      <c r="K1225" s="218"/>
      <c r="L1225" s="234"/>
      <c r="M1225" s="202"/>
      <c r="N1225" s="525"/>
      <c r="O1225" s="203">
        <v>150000</v>
      </c>
      <c r="P1225" s="252">
        <f>O1225*1.46</f>
        <v>219000</v>
      </c>
      <c r="Q1225" s="201"/>
      <c r="R1225" s="255"/>
      <c r="S1225" s="159">
        <f t="shared" ref="S1225" si="75">SUM(L1225,N1225,P1225,R1225)</f>
        <v>219000</v>
      </c>
      <c r="T1225" s="235"/>
      <c r="U1225" s="170"/>
    </row>
    <row r="1226" spans="1:21" ht="15.75" hidden="1" outlineLevel="3">
      <c r="A1226" s="162"/>
      <c r="B1226" s="152"/>
      <c r="C1226" s="236" t="s">
        <v>479</v>
      </c>
      <c r="D1226" s="344"/>
      <c r="E1226" s="164"/>
      <c r="F1226" s="165"/>
      <c r="G1226" s="172"/>
      <c r="H1226" s="164"/>
      <c r="I1226" s="164"/>
      <c r="J1226" s="164"/>
      <c r="K1226" s="218"/>
      <c r="L1226" s="220"/>
      <c r="M1226" s="204"/>
      <c r="N1226" s="525"/>
      <c r="O1226" s="203"/>
      <c r="P1226" s="252"/>
      <c r="Q1226" s="201"/>
      <c r="R1226" s="255"/>
      <c r="S1226" s="226"/>
      <c r="T1226" s="235"/>
      <c r="U1226" s="170"/>
    </row>
    <row r="1227" spans="1:21" ht="15.75" hidden="1" outlineLevel="3">
      <c r="A1227" s="162"/>
      <c r="B1227" s="152"/>
      <c r="C1227" s="236" t="s">
        <v>480</v>
      </c>
      <c r="D1227" s="344"/>
      <c r="E1227" s="164"/>
      <c r="F1227" s="165"/>
      <c r="G1227" s="172"/>
      <c r="H1227" s="164"/>
      <c r="I1227" s="164"/>
      <c r="J1227" s="164"/>
      <c r="K1227" s="218"/>
      <c r="L1227" s="234"/>
      <c r="M1227" s="202"/>
      <c r="N1227" s="525"/>
      <c r="O1227" s="203"/>
      <c r="P1227" s="252"/>
      <c r="Q1227" s="201"/>
      <c r="R1227" s="255"/>
      <c r="S1227" s="226"/>
      <c r="T1227" s="235"/>
      <c r="U1227" s="170"/>
    </row>
    <row r="1228" spans="1:21" ht="15.75" hidden="1" outlineLevel="3">
      <c r="A1228" s="162"/>
      <c r="B1228" s="152"/>
      <c r="C1228" s="236" t="s">
        <v>512</v>
      </c>
      <c r="D1228" s="344"/>
      <c r="E1228" s="164"/>
      <c r="F1228" s="165"/>
      <c r="G1228" s="172"/>
      <c r="H1228" s="164"/>
      <c r="I1228" s="164"/>
      <c r="J1228" s="164"/>
      <c r="K1228" s="218"/>
      <c r="L1228" s="234"/>
      <c r="M1228" s="202"/>
      <c r="N1228" s="525"/>
      <c r="O1228" s="203"/>
      <c r="P1228" s="252"/>
      <c r="Q1228" s="201"/>
      <c r="R1228" s="255"/>
      <c r="S1228" s="226"/>
      <c r="T1228" s="235"/>
      <c r="U1228" s="170"/>
    </row>
    <row r="1229" spans="1:21" ht="15.75" hidden="1" outlineLevel="3">
      <c r="A1229" s="162"/>
      <c r="B1229" s="152"/>
      <c r="C1229" s="151" t="s">
        <v>504</v>
      </c>
      <c r="D1229" s="339"/>
      <c r="E1229" s="164"/>
      <c r="F1229" s="165"/>
      <c r="G1229" s="172"/>
      <c r="H1229" s="164"/>
      <c r="I1229" s="164"/>
      <c r="J1229" s="164"/>
      <c r="K1229" s="218"/>
      <c r="L1229" s="234"/>
      <c r="M1229" s="202"/>
      <c r="N1229" s="525"/>
      <c r="O1229" s="203"/>
      <c r="P1229" s="252"/>
      <c r="Q1229" s="201"/>
      <c r="R1229" s="255"/>
      <c r="S1229" s="226"/>
      <c r="T1229" s="235"/>
      <c r="U1229" s="170"/>
    </row>
    <row r="1230" spans="1:21" ht="15.75" hidden="1" outlineLevel="3">
      <c r="A1230" s="162"/>
      <c r="B1230" s="152"/>
      <c r="C1230" s="236" t="s">
        <v>483</v>
      </c>
      <c r="D1230" s="344"/>
      <c r="E1230" s="164"/>
      <c r="F1230" s="165"/>
      <c r="G1230" s="172"/>
      <c r="H1230" s="164"/>
      <c r="I1230" s="164"/>
      <c r="J1230" s="164"/>
      <c r="K1230" s="218"/>
      <c r="L1230" s="234"/>
      <c r="M1230" s="202"/>
      <c r="N1230" s="525"/>
      <c r="O1230" s="203"/>
      <c r="P1230" s="252"/>
      <c r="Q1230" s="201"/>
      <c r="R1230" s="255"/>
      <c r="S1230" s="226"/>
      <c r="T1230" s="235"/>
      <c r="U1230" s="170"/>
    </row>
    <row r="1231" spans="1:21" ht="15.75" hidden="1" outlineLevel="3">
      <c r="A1231" s="162"/>
      <c r="B1231" s="152"/>
      <c r="C1231" s="236" t="s">
        <v>484</v>
      </c>
      <c r="D1231" s="344"/>
      <c r="E1231" s="164"/>
      <c r="F1231" s="165"/>
      <c r="G1231" s="172"/>
      <c r="H1231" s="164"/>
      <c r="I1231" s="164"/>
      <c r="J1231" s="164"/>
      <c r="K1231" s="218"/>
      <c r="L1231" s="234"/>
      <c r="M1231" s="202"/>
      <c r="N1231" s="525"/>
      <c r="O1231" s="203"/>
      <c r="P1231" s="252"/>
      <c r="Q1231" s="201"/>
      <c r="R1231" s="255"/>
      <c r="S1231" s="226"/>
      <c r="T1231" s="235"/>
      <c r="U1231" s="170"/>
    </row>
    <row r="1232" spans="1:21" ht="15.75" hidden="1" outlineLevel="3">
      <c r="A1232" s="162"/>
      <c r="B1232" s="152"/>
      <c r="C1232" s="236" t="s">
        <v>479</v>
      </c>
      <c r="D1232" s="344"/>
      <c r="E1232" s="164"/>
      <c r="F1232" s="165"/>
      <c r="G1232" s="172"/>
      <c r="H1232" s="164"/>
      <c r="I1232" s="164"/>
      <c r="J1232" s="164"/>
      <c r="K1232" s="218"/>
      <c r="L1232" s="234"/>
      <c r="M1232" s="202"/>
      <c r="N1232" s="525"/>
      <c r="O1232" s="203"/>
      <c r="P1232" s="252"/>
      <c r="Q1232" s="201"/>
      <c r="R1232" s="255"/>
      <c r="S1232" s="226"/>
      <c r="T1232" s="235"/>
      <c r="U1232" s="170"/>
    </row>
    <row r="1233" spans="1:21" ht="15.75" hidden="1" outlineLevel="3">
      <c r="A1233" s="162"/>
      <c r="B1233" s="152"/>
      <c r="C1233" s="236" t="s">
        <v>485</v>
      </c>
      <c r="D1233" s="344"/>
      <c r="E1233" s="164"/>
      <c r="F1233" s="165"/>
      <c r="G1233" s="172"/>
      <c r="H1233" s="164"/>
      <c r="I1233" s="164"/>
      <c r="J1233" s="164"/>
      <c r="K1233" s="218"/>
      <c r="L1233" s="234"/>
      <c r="M1233" s="202"/>
      <c r="N1233" s="525"/>
      <c r="O1233" s="203"/>
      <c r="P1233" s="252"/>
      <c r="Q1233" s="201"/>
      <c r="R1233" s="255"/>
      <c r="S1233" s="226"/>
      <c r="T1233" s="235"/>
      <c r="U1233" s="170"/>
    </row>
    <row r="1234" spans="1:21" ht="15.75" hidden="1" outlineLevel="3">
      <c r="A1234" s="162"/>
      <c r="B1234" s="152"/>
      <c r="C1234" s="151" t="s">
        <v>505</v>
      </c>
      <c r="D1234" s="339"/>
      <c r="E1234" s="164"/>
      <c r="F1234" s="165"/>
      <c r="G1234" s="172"/>
      <c r="H1234" s="164"/>
      <c r="I1234" s="164"/>
      <c r="J1234" s="164"/>
      <c r="K1234" s="218"/>
      <c r="L1234" s="234"/>
      <c r="M1234" s="202"/>
      <c r="N1234" s="525"/>
      <c r="O1234" s="203"/>
      <c r="P1234" s="252"/>
      <c r="Q1234" s="201"/>
      <c r="R1234" s="255"/>
      <c r="S1234" s="226"/>
      <c r="T1234" s="235"/>
      <c r="U1234" s="170"/>
    </row>
    <row r="1235" spans="1:21" ht="15.75" hidden="1" outlineLevel="3">
      <c r="A1235" s="162"/>
      <c r="B1235" s="152"/>
      <c r="C1235" s="236" t="s">
        <v>487</v>
      </c>
      <c r="D1235" s="344"/>
      <c r="E1235" s="164"/>
      <c r="F1235" s="165"/>
      <c r="G1235" s="172"/>
      <c r="H1235" s="164"/>
      <c r="I1235" s="164"/>
      <c r="J1235" s="164"/>
      <c r="K1235" s="218"/>
      <c r="L1235" s="234"/>
      <c r="M1235" s="202"/>
      <c r="N1235" s="525"/>
      <c r="O1235" s="203"/>
      <c r="P1235" s="252"/>
      <c r="Q1235" s="201"/>
      <c r="R1235" s="255"/>
      <c r="S1235" s="226"/>
      <c r="T1235" s="235"/>
      <c r="U1235" s="170"/>
    </row>
    <row r="1236" spans="1:21" ht="15.75" hidden="1" outlineLevel="3">
      <c r="A1236" s="162"/>
      <c r="B1236" s="152"/>
      <c r="C1236" s="236" t="s">
        <v>479</v>
      </c>
      <c r="D1236" s="344"/>
      <c r="E1236" s="164"/>
      <c r="F1236" s="165"/>
      <c r="G1236" s="172"/>
      <c r="H1236" s="164"/>
      <c r="I1236" s="164"/>
      <c r="J1236" s="164"/>
      <c r="K1236" s="218"/>
      <c r="L1236" s="234"/>
      <c r="M1236" s="202"/>
      <c r="N1236" s="525"/>
      <c r="O1236" s="203"/>
      <c r="P1236" s="252"/>
      <c r="Q1236" s="201"/>
      <c r="R1236" s="255"/>
      <c r="S1236" s="226"/>
      <c r="T1236" s="235"/>
      <c r="U1236" s="170"/>
    </row>
    <row r="1237" spans="1:21" ht="15.75" hidden="1" outlineLevel="3">
      <c r="A1237" s="162"/>
      <c r="B1237" s="152"/>
      <c r="C1237" s="236" t="s">
        <v>488</v>
      </c>
      <c r="D1237" s="344"/>
      <c r="E1237" s="164"/>
      <c r="F1237" s="165"/>
      <c r="G1237" s="172"/>
      <c r="H1237" s="164"/>
      <c r="I1237" s="164"/>
      <c r="J1237" s="164"/>
      <c r="K1237" s="218"/>
      <c r="L1237" s="234"/>
      <c r="M1237" s="202"/>
      <c r="N1237" s="525"/>
      <c r="O1237" s="203"/>
      <c r="P1237" s="252"/>
      <c r="Q1237" s="201"/>
      <c r="R1237" s="255"/>
      <c r="S1237" s="226"/>
      <c r="T1237" s="235"/>
      <c r="U1237" s="170"/>
    </row>
    <row r="1238" spans="1:21" ht="15.75" hidden="1" outlineLevel="3">
      <c r="A1238" s="162"/>
      <c r="B1238" s="152"/>
      <c r="C1238" s="236" t="s">
        <v>489</v>
      </c>
      <c r="D1238" s="344"/>
      <c r="E1238" s="164"/>
      <c r="F1238" s="165"/>
      <c r="G1238" s="172"/>
      <c r="H1238" s="164"/>
      <c r="I1238" s="164"/>
      <c r="J1238" s="164"/>
      <c r="K1238" s="218"/>
      <c r="L1238" s="234"/>
      <c r="M1238" s="202"/>
      <c r="N1238" s="525"/>
      <c r="O1238" s="203"/>
      <c r="P1238" s="252"/>
      <c r="Q1238" s="201"/>
      <c r="R1238" s="255"/>
      <c r="S1238" s="226"/>
      <c r="T1238" s="235"/>
      <c r="U1238" s="170"/>
    </row>
    <row r="1239" spans="1:21" ht="15.75" hidden="1" outlineLevel="3">
      <c r="A1239" s="162"/>
      <c r="B1239" s="152"/>
      <c r="C1239" s="151" t="s">
        <v>506</v>
      </c>
      <c r="D1239" s="339"/>
      <c r="E1239" s="164"/>
      <c r="F1239" s="165"/>
      <c r="G1239" s="172"/>
      <c r="H1239" s="164"/>
      <c r="I1239" s="164"/>
      <c r="J1239" s="164"/>
      <c r="K1239" s="218"/>
      <c r="L1239" s="234"/>
      <c r="M1239" s="202"/>
      <c r="N1239" s="525"/>
      <c r="O1239" s="203"/>
      <c r="P1239" s="252"/>
      <c r="Q1239" s="201"/>
      <c r="R1239" s="255"/>
      <c r="S1239" s="226"/>
      <c r="T1239" s="235"/>
      <c r="U1239" s="170"/>
    </row>
    <row r="1240" spans="1:21" ht="15.75" hidden="1" outlineLevel="3">
      <c r="A1240" s="162"/>
      <c r="B1240" s="152"/>
      <c r="C1240" s="236" t="s">
        <v>491</v>
      </c>
      <c r="D1240" s="344"/>
      <c r="E1240" s="164"/>
      <c r="F1240" s="165"/>
      <c r="G1240" s="172"/>
      <c r="H1240" s="164"/>
      <c r="I1240" s="164"/>
      <c r="J1240" s="164"/>
      <c r="K1240" s="218"/>
      <c r="L1240" s="234"/>
      <c r="M1240" s="202"/>
      <c r="N1240" s="525"/>
      <c r="O1240" s="203"/>
      <c r="P1240" s="252"/>
      <c r="Q1240" s="201"/>
      <c r="R1240" s="255"/>
      <c r="S1240" s="226"/>
      <c r="T1240" s="235"/>
      <c r="U1240" s="170"/>
    </row>
    <row r="1241" spans="1:21" ht="15.75" hidden="1" outlineLevel="3">
      <c r="A1241" s="162"/>
      <c r="B1241" s="152"/>
      <c r="C1241" s="236" t="s">
        <v>492</v>
      </c>
      <c r="D1241" s="344"/>
      <c r="E1241" s="164"/>
      <c r="F1241" s="165"/>
      <c r="G1241" s="172"/>
      <c r="H1241" s="164"/>
      <c r="I1241" s="164"/>
      <c r="J1241" s="164"/>
      <c r="K1241" s="218"/>
      <c r="L1241" s="234"/>
      <c r="M1241" s="202"/>
      <c r="N1241" s="525"/>
      <c r="O1241" s="203"/>
      <c r="P1241" s="252"/>
      <c r="Q1241" s="201"/>
      <c r="R1241" s="255"/>
      <c r="S1241" s="226"/>
      <c r="T1241" s="235"/>
      <c r="U1241" s="170"/>
    </row>
    <row r="1242" spans="1:21" ht="15.75" hidden="1" outlineLevel="3">
      <c r="A1242" s="162"/>
      <c r="B1242" s="152"/>
      <c r="C1242" s="236" t="s">
        <v>493</v>
      </c>
      <c r="D1242" s="344"/>
      <c r="E1242" s="164"/>
      <c r="F1242" s="165"/>
      <c r="G1242" s="172"/>
      <c r="H1242" s="164"/>
      <c r="I1242" s="164"/>
      <c r="J1242" s="164"/>
      <c r="K1242" s="218"/>
      <c r="L1242" s="234"/>
      <c r="M1242" s="202"/>
      <c r="N1242" s="525"/>
      <c r="O1242" s="203">
        <v>170000</v>
      </c>
      <c r="P1242" s="252">
        <f>O1242*1.46</f>
        <v>248200</v>
      </c>
      <c r="Q1242" s="201"/>
      <c r="R1242" s="255"/>
      <c r="S1242" s="159">
        <f t="shared" ref="S1242" si="76">SUM(L1242,N1242,P1242,R1242)</f>
        <v>248200</v>
      </c>
      <c r="T1242" s="235"/>
      <c r="U1242" s="170"/>
    </row>
    <row r="1243" spans="1:21" ht="15.75" hidden="1" outlineLevel="3">
      <c r="A1243" s="162"/>
      <c r="B1243" s="152"/>
      <c r="C1243" s="236" t="s">
        <v>494</v>
      </c>
      <c r="D1243" s="344"/>
      <c r="E1243" s="164"/>
      <c r="F1243" s="165"/>
      <c r="G1243" s="172"/>
      <c r="H1243" s="164"/>
      <c r="I1243" s="164"/>
      <c r="J1243" s="164"/>
      <c r="K1243" s="218"/>
      <c r="L1243" s="234"/>
      <c r="M1243" s="202"/>
      <c r="N1243" s="525"/>
      <c r="O1243" s="203"/>
      <c r="P1243" s="252"/>
      <c r="Q1243" s="201"/>
      <c r="R1243" s="255"/>
      <c r="S1243" s="226"/>
      <c r="T1243" s="235"/>
      <c r="U1243" s="161"/>
    </row>
    <row r="1244" spans="1:21" ht="15.75" hidden="1" outlineLevel="3">
      <c r="A1244" s="162"/>
      <c r="B1244" s="152"/>
      <c r="C1244" s="151" t="s">
        <v>507</v>
      </c>
      <c r="D1244" s="339"/>
      <c r="E1244" s="164"/>
      <c r="F1244" s="165"/>
      <c r="G1244" s="172"/>
      <c r="H1244" s="164"/>
      <c r="I1244" s="164"/>
      <c r="J1244" s="164"/>
      <c r="K1244" s="218"/>
      <c r="L1244" s="234"/>
      <c r="M1244" s="202"/>
      <c r="N1244" s="525"/>
      <c r="O1244" s="203"/>
      <c r="P1244" s="252"/>
      <c r="Q1244" s="201"/>
      <c r="R1244" s="255"/>
      <c r="S1244" s="226"/>
      <c r="T1244" s="235"/>
      <c r="U1244" s="170"/>
    </row>
    <row r="1245" spans="1:21" ht="15.75" hidden="1" outlineLevel="3">
      <c r="A1245" s="162"/>
      <c r="B1245" s="152"/>
      <c r="C1245" s="174" t="s">
        <v>496</v>
      </c>
      <c r="D1245" s="340"/>
      <c r="E1245" s="164"/>
      <c r="F1245" s="165"/>
      <c r="G1245" s="172"/>
      <c r="H1245" s="164"/>
      <c r="I1245" s="164"/>
      <c r="J1245" s="164"/>
      <c r="K1245" s="218"/>
      <c r="L1245" s="234"/>
      <c r="M1245" s="202"/>
      <c r="N1245" s="525"/>
      <c r="O1245" s="203"/>
      <c r="P1245" s="252"/>
      <c r="Q1245" s="201"/>
      <c r="R1245" s="255"/>
      <c r="S1245" s="226"/>
      <c r="T1245" s="235"/>
      <c r="U1245" s="170"/>
    </row>
    <row r="1246" spans="1:21" ht="15.75" hidden="1" outlineLevel="3">
      <c r="A1246" s="162"/>
      <c r="B1246" s="152"/>
      <c r="C1246" s="174" t="s">
        <v>497</v>
      </c>
      <c r="D1246" s="340"/>
      <c r="E1246" s="164"/>
      <c r="F1246" s="165"/>
      <c r="G1246" s="172"/>
      <c r="H1246" s="164"/>
      <c r="I1246" s="164"/>
      <c r="J1246" s="164"/>
      <c r="K1246" s="218"/>
      <c r="L1246" s="234"/>
      <c r="M1246" s="202"/>
      <c r="N1246" s="525"/>
      <c r="O1246" s="203"/>
      <c r="P1246" s="252"/>
      <c r="Q1246" s="201"/>
      <c r="R1246" s="255"/>
      <c r="S1246" s="226"/>
      <c r="T1246" s="235"/>
      <c r="U1246" s="170"/>
    </row>
    <row r="1247" spans="1:21" ht="15.75" hidden="1" outlineLevel="3">
      <c r="A1247" s="162"/>
      <c r="B1247" s="152"/>
      <c r="C1247" s="174" t="s">
        <v>499</v>
      </c>
      <c r="D1247" s="340"/>
      <c r="E1247" s="164"/>
      <c r="F1247" s="165"/>
      <c r="G1247" s="172"/>
      <c r="H1247" s="164"/>
      <c r="I1247" s="164"/>
      <c r="J1247" s="164"/>
      <c r="K1247" s="218"/>
      <c r="L1247" s="234"/>
      <c r="M1247" s="202"/>
      <c r="N1247" s="525"/>
      <c r="O1247" s="203"/>
      <c r="P1247" s="252"/>
      <c r="Q1247" s="201"/>
      <c r="R1247" s="255"/>
      <c r="S1247" s="226"/>
      <c r="T1247" s="235"/>
      <c r="U1247" s="170"/>
    </row>
    <row r="1248" spans="1:21" ht="15.75" hidden="1" outlineLevel="3">
      <c r="A1248" s="162"/>
      <c r="B1248" s="152"/>
      <c r="C1248" s="174" t="s">
        <v>526</v>
      </c>
      <c r="D1248" s="340"/>
      <c r="E1248" s="164"/>
      <c r="F1248" s="165"/>
      <c r="G1248" s="172"/>
      <c r="H1248" s="164"/>
      <c r="I1248" s="164"/>
      <c r="J1248" s="164"/>
      <c r="K1248" s="218"/>
      <c r="L1248" s="234"/>
      <c r="M1248" s="202"/>
      <c r="N1248" s="525"/>
      <c r="O1248" s="203"/>
      <c r="P1248" s="252"/>
      <c r="Q1248" s="201"/>
      <c r="R1248" s="255"/>
      <c r="S1248" s="226"/>
      <c r="T1248" s="235"/>
      <c r="U1248" s="161"/>
    </row>
    <row r="1249" spans="1:21" s="135" customFormat="1" ht="15.75" hidden="1" outlineLevel="2" collapsed="1">
      <c r="A1249" s="229"/>
      <c r="B1249" s="289"/>
      <c r="C1249" s="151" t="s">
        <v>649</v>
      </c>
      <c r="D1249" s="339"/>
      <c r="E1249" s="244"/>
      <c r="F1249" s="248"/>
      <c r="G1249" s="197"/>
      <c r="H1249" s="157"/>
      <c r="I1249" s="157"/>
      <c r="J1249" s="157"/>
      <c r="K1249" s="222"/>
      <c r="L1249" s="167"/>
      <c r="M1249" s="202"/>
      <c r="N1249" s="251"/>
      <c r="O1249" s="203">
        <f>SUM(O1223:O1248)</f>
        <v>320000</v>
      </c>
      <c r="P1249" s="251">
        <f>O1249*1.46</f>
        <v>467200</v>
      </c>
      <c r="Q1249" s="201"/>
      <c r="R1249" s="255"/>
      <c r="S1249" s="159">
        <f t="shared" ref="S1249" si="77">SUM(L1249,N1249,P1249,R1249)</f>
        <v>467200</v>
      </c>
      <c r="T1249" s="235"/>
      <c r="U1249" s="170" t="s">
        <v>650</v>
      </c>
    </row>
    <row r="1250" spans="1:21" s="233" customFormat="1" hidden="1" outlineLevel="3">
      <c r="A1250" s="232"/>
      <c r="B1250" s="151" t="s">
        <v>651</v>
      </c>
      <c r="C1250" s="171"/>
      <c r="D1250" s="343"/>
      <c r="E1250" s="157"/>
      <c r="F1250" s="158"/>
      <c r="G1250" s="197"/>
      <c r="H1250" s="157"/>
      <c r="I1250" s="157"/>
      <c r="J1250" s="157"/>
      <c r="K1250" s="215"/>
      <c r="L1250" s="155"/>
      <c r="M1250" s="156"/>
      <c r="N1250" s="250"/>
      <c r="O1250" s="157"/>
      <c r="P1250" s="248"/>
      <c r="Q1250" s="158"/>
      <c r="R1250" s="255"/>
      <c r="S1250" s="245"/>
      <c r="T1250" s="246"/>
      <c r="U1250" s="170"/>
    </row>
    <row r="1251" spans="1:21" ht="15.75" hidden="1" outlineLevel="3">
      <c r="A1251" s="162"/>
      <c r="B1251" s="152"/>
      <c r="C1251" s="151" t="s">
        <v>503</v>
      </c>
      <c r="D1251" s="339"/>
      <c r="E1251" s="164"/>
      <c r="F1251" s="165"/>
      <c r="G1251" s="172"/>
      <c r="H1251" s="164"/>
      <c r="I1251" s="164"/>
      <c r="J1251" s="164"/>
      <c r="K1251" s="223"/>
      <c r="L1251" s="234"/>
      <c r="M1251" s="202"/>
      <c r="N1251" s="250"/>
      <c r="O1251" s="203"/>
      <c r="P1251" s="248"/>
      <c r="Q1251" s="201"/>
      <c r="R1251" s="255"/>
      <c r="S1251" s="226"/>
      <c r="T1251" s="235"/>
      <c r="U1251" s="170"/>
    </row>
    <row r="1252" spans="1:21" ht="15.75" hidden="1" outlineLevel="3">
      <c r="A1252" s="162"/>
      <c r="B1252" s="152"/>
      <c r="C1252" s="236" t="s">
        <v>520</v>
      </c>
      <c r="D1252" s="344"/>
      <c r="E1252" s="164"/>
      <c r="F1252" s="165"/>
      <c r="G1252" s="172"/>
      <c r="H1252" s="164"/>
      <c r="I1252" s="164"/>
      <c r="J1252" s="164"/>
      <c r="K1252" s="223"/>
      <c r="L1252" s="234"/>
      <c r="M1252" s="202"/>
      <c r="N1252" s="250"/>
      <c r="O1252" s="203"/>
      <c r="P1252" s="248"/>
      <c r="Q1252" s="201"/>
      <c r="R1252" s="255"/>
      <c r="S1252" s="226"/>
      <c r="T1252" s="235"/>
      <c r="U1252" s="170"/>
    </row>
    <row r="1253" spans="1:21" ht="15.75" hidden="1" outlineLevel="3">
      <c r="A1253" s="162"/>
      <c r="B1253" s="152"/>
      <c r="C1253" s="236" t="s">
        <v>478</v>
      </c>
      <c r="D1253" s="344"/>
      <c r="E1253" s="164"/>
      <c r="F1253" s="165"/>
      <c r="G1253" s="172"/>
      <c r="H1253" s="164"/>
      <c r="I1253" s="164"/>
      <c r="J1253" s="164"/>
      <c r="K1253" s="223"/>
      <c r="L1253" s="234"/>
      <c r="M1253" s="202"/>
      <c r="N1253" s="250"/>
      <c r="O1253" s="203"/>
      <c r="P1253" s="248"/>
      <c r="Q1253" s="201">
        <v>150000</v>
      </c>
      <c r="R1253" s="255">
        <f>Q1253*1.73</f>
        <v>259500</v>
      </c>
      <c r="S1253" s="159">
        <f t="shared" ref="S1253" si="78">SUM(L1253,N1253,P1253,R1253)</f>
        <v>259500</v>
      </c>
      <c r="T1253" s="235"/>
      <c r="U1253" s="170"/>
    </row>
    <row r="1254" spans="1:21" ht="15.75" hidden="1" outlineLevel="3">
      <c r="A1254" s="162"/>
      <c r="B1254" s="152"/>
      <c r="C1254" s="236" t="s">
        <v>479</v>
      </c>
      <c r="D1254" s="344"/>
      <c r="E1254" s="164"/>
      <c r="F1254" s="165"/>
      <c r="G1254" s="172"/>
      <c r="H1254" s="164"/>
      <c r="I1254" s="164"/>
      <c r="J1254" s="164"/>
      <c r="K1254" s="223"/>
      <c r="L1254" s="220"/>
      <c r="M1254" s="204"/>
      <c r="N1254" s="250"/>
      <c r="O1254" s="203"/>
      <c r="P1254" s="248"/>
      <c r="Q1254" s="201"/>
      <c r="R1254" s="255"/>
      <c r="S1254" s="226"/>
      <c r="T1254" s="235"/>
      <c r="U1254" s="170"/>
    </row>
    <row r="1255" spans="1:21" ht="15.75" hidden="1" outlineLevel="3">
      <c r="A1255" s="162"/>
      <c r="B1255" s="152"/>
      <c r="C1255" s="236" t="s">
        <v>480</v>
      </c>
      <c r="D1255" s="344"/>
      <c r="E1255" s="164"/>
      <c r="F1255" s="165"/>
      <c r="G1255" s="172"/>
      <c r="H1255" s="164"/>
      <c r="I1255" s="164"/>
      <c r="J1255" s="164" t="s">
        <v>514</v>
      </c>
      <c r="K1255" s="223"/>
      <c r="L1255" s="234"/>
      <c r="M1255" s="202"/>
      <c r="N1255" s="250"/>
      <c r="O1255" s="203"/>
      <c r="P1255" s="248"/>
      <c r="Q1255" s="201"/>
      <c r="R1255" s="255"/>
      <c r="S1255" s="226"/>
      <c r="T1255" s="235"/>
      <c r="U1255" s="170"/>
    </row>
    <row r="1256" spans="1:21" ht="15.75" hidden="1" outlineLevel="3">
      <c r="A1256" s="162"/>
      <c r="B1256" s="152"/>
      <c r="C1256" s="236" t="s">
        <v>512</v>
      </c>
      <c r="D1256" s="344"/>
      <c r="E1256" s="164"/>
      <c r="F1256" s="165"/>
      <c r="G1256" s="172"/>
      <c r="H1256" s="164"/>
      <c r="I1256" s="164"/>
      <c r="J1256" s="164"/>
      <c r="K1256" s="223"/>
      <c r="L1256" s="234"/>
      <c r="M1256" s="202"/>
      <c r="N1256" s="250"/>
      <c r="O1256" s="203"/>
      <c r="P1256" s="248"/>
      <c r="Q1256" s="201"/>
      <c r="R1256" s="255"/>
      <c r="S1256" s="226"/>
      <c r="T1256" s="235"/>
      <c r="U1256" s="170"/>
    </row>
    <row r="1257" spans="1:21" ht="15.75" hidden="1" outlineLevel="3">
      <c r="A1257" s="162"/>
      <c r="B1257" s="152"/>
      <c r="C1257" s="151" t="s">
        <v>504</v>
      </c>
      <c r="D1257" s="339"/>
      <c r="E1257" s="164"/>
      <c r="F1257" s="165"/>
      <c r="G1257" s="172"/>
      <c r="H1257" s="164"/>
      <c r="I1257" s="164"/>
      <c r="J1257" s="164"/>
      <c r="K1257" s="223"/>
      <c r="L1257" s="234"/>
      <c r="M1257" s="202"/>
      <c r="N1257" s="250"/>
      <c r="O1257" s="203"/>
      <c r="P1257" s="248"/>
      <c r="Q1257" s="201"/>
      <c r="R1257" s="255"/>
      <c r="S1257" s="226"/>
      <c r="T1257" s="235"/>
      <c r="U1257" s="170"/>
    </row>
    <row r="1258" spans="1:21" ht="15.75" hidden="1" outlineLevel="3">
      <c r="A1258" s="162"/>
      <c r="B1258" s="152"/>
      <c r="C1258" s="236" t="s">
        <v>483</v>
      </c>
      <c r="D1258" s="344"/>
      <c r="E1258" s="164"/>
      <c r="F1258" s="165"/>
      <c r="G1258" s="172"/>
      <c r="H1258" s="164"/>
      <c r="I1258" s="164"/>
      <c r="J1258" s="164"/>
      <c r="K1258" s="223"/>
      <c r="L1258" s="234"/>
      <c r="M1258" s="202"/>
      <c r="N1258" s="250"/>
      <c r="O1258" s="203"/>
      <c r="P1258" s="248"/>
      <c r="Q1258" s="201"/>
      <c r="R1258" s="255"/>
      <c r="S1258" s="226"/>
      <c r="T1258" s="235"/>
      <c r="U1258" s="170"/>
    </row>
    <row r="1259" spans="1:21" ht="15.75" hidden="1" outlineLevel="3">
      <c r="A1259" s="162"/>
      <c r="B1259" s="152"/>
      <c r="C1259" s="236" t="s">
        <v>484</v>
      </c>
      <c r="D1259" s="344"/>
      <c r="E1259" s="164"/>
      <c r="F1259" s="165"/>
      <c r="G1259" s="172"/>
      <c r="H1259" s="164"/>
      <c r="I1259" s="164"/>
      <c r="J1259" s="164"/>
      <c r="K1259" s="223"/>
      <c r="L1259" s="234"/>
      <c r="M1259" s="202"/>
      <c r="N1259" s="250"/>
      <c r="O1259" s="203"/>
      <c r="P1259" s="248"/>
      <c r="Q1259" s="201"/>
      <c r="R1259" s="255"/>
      <c r="S1259" s="226"/>
      <c r="T1259" s="235"/>
      <c r="U1259" s="170"/>
    </row>
    <row r="1260" spans="1:21" ht="15.75" hidden="1" outlineLevel="3">
      <c r="A1260" s="162"/>
      <c r="B1260" s="152"/>
      <c r="C1260" s="236" t="s">
        <v>479</v>
      </c>
      <c r="D1260" s="344"/>
      <c r="E1260" s="164"/>
      <c r="F1260" s="165"/>
      <c r="G1260" s="172"/>
      <c r="H1260" s="164"/>
      <c r="I1260" s="164"/>
      <c r="J1260" s="164"/>
      <c r="K1260" s="223"/>
      <c r="L1260" s="234"/>
      <c r="M1260" s="202"/>
      <c r="N1260" s="250"/>
      <c r="O1260" s="203"/>
      <c r="P1260" s="248"/>
      <c r="Q1260" s="201"/>
      <c r="R1260" s="255"/>
      <c r="S1260" s="226"/>
      <c r="T1260" s="235"/>
      <c r="U1260" s="170"/>
    </row>
    <row r="1261" spans="1:21" ht="15.75" hidden="1" outlineLevel="3">
      <c r="A1261" s="162"/>
      <c r="B1261" s="152"/>
      <c r="C1261" s="236" t="s">
        <v>485</v>
      </c>
      <c r="D1261" s="344"/>
      <c r="E1261" s="164"/>
      <c r="F1261" s="165"/>
      <c r="G1261" s="172"/>
      <c r="H1261" s="164"/>
      <c r="I1261" s="164"/>
      <c r="J1261" s="164"/>
      <c r="K1261" s="223"/>
      <c r="L1261" s="234"/>
      <c r="M1261" s="202"/>
      <c r="N1261" s="250"/>
      <c r="O1261" s="203"/>
      <c r="P1261" s="248"/>
      <c r="Q1261" s="201"/>
      <c r="R1261" s="255"/>
      <c r="S1261" s="226"/>
      <c r="T1261" s="235"/>
      <c r="U1261" s="170"/>
    </row>
    <row r="1262" spans="1:21" ht="15.75" hidden="1" outlineLevel="3">
      <c r="A1262" s="162"/>
      <c r="B1262" s="152"/>
      <c r="C1262" s="151" t="s">
        <v>505</v>
      </c>
      <c r="D1262" s="339"/>
      <c r="E1262" s="164"/>
      <c r="F1262" s="165"/>
      <c r="G1262" s="172"/>
      <c r="H1262" s="164"/>
      <c r="I1262" s="164"/>
      <c r="J1262" s="164"/>
      <c r="K1262" s="223"/>
      <c r="L1262" s="234"/>
      <c r="M1262" s="202"/>
      <c r="N1262" s="250"/>
      <c r="O1262" s="203"/>
      <c r="P1262" s="248"/>
      <c r="Q1262" s="201"/>
      <c r="R1262" s="255"/>
      <c r="S1262" s="226"/>
      <c r="T1262" s="235"/>
      <c r="U1262" s="170"/>
    </row>
    <row r="1263" spans="1:21" ht="15.75" hidden="1" outlineLevel="3">
      <c r="A1263" s="162"/>
      <c r="B1263" s="152"/>
      <c r="C1263" s="236" t="s">
        <v>487</v>
      </c>
      <c r="D1263" s="344"/>
      <c r="E1263" s="164"/>
      <c r="F1263" s="165"/>
      <c r="G1263" s="172"/>
      <c r="H1263" s="164"/>
      <c r="I1263" s="164"/>
      <c r="J1263" s="164"/>
      <c r="K1263" s="223"/>
      <c r="L1263" s="234"/>
      <c r="M1263" s="202"/>
      <c r="N1263" s="250"/>
      <c r="O1263" s="203"/>
      <c r="P1263" s="248"/>
      <c r="Q1263" s="201"/>
      <c r="R1263" s="255"/>
      <c r="S1263" s="226"/>
      <c r="T1263" s="235"/>
      <c r="U1263" s="170"/>
    </row>
    <row r="1264" spans="1:21" ht="15.75" hidden="1" outlineLevel="3">
      <c r="A1264" s="162"/>
      <c r="B1264" s="152"/>
      <c r="C1264" s="236" t="s">
        <v>479</v>
      </c>
      <c r="D1264" s="344"/>
      <c r="E1264" s="164"/>
      <c r="F1264" s="165"/>
      <c r="G1264" s="172"/>
      <c r="H1264" s="164"/>
      <c r="I1264" s="164"/>
      <c r="J1264" s="164"/>
      <c r="K1264" s="223"/>
      <c r="L1264" s="234"/>
      <c r="M1264" s="202"/>
      <c r="N1264" s="250"/>
      <c r="O1264" s="203"/>
      <c r="P1264" s="248"/>
      <c r="Q1264" s="201"/>
      <c r="R1264" s="255"/>
      <c r="S1264" s="226"/>
      <c r="T1264" s="235"/>
      <c r="U1264" s="170"/>
    </row>
    <row r="1265" spans="1:21" ht="15.75" hidden="1" outlineLevel="3">
      <c r="A1265" s="162"/>
      <c r="B1265" s="152"/>
      <c r="C1265" s="236" t="s">
        <v>488</v>
      </c>
      <c r="D1265" s="344"/>
      <c r="E1265" s="164"/>
      <c r="F1265" s="165"/>
      <c r="G1265" s="172"/>
      <c r="H1265" s="164"/>
      <c r="I1265" s="164"/>
      <c r="J1265" s="164"/>
      <c r="K1265" s="223"/>
      <c r="L1265" s="234"/>
      <c r="M1265" s="202"/>
      <c r="N1265" s="250"/>
      <c r="O1265" s="203"/>
      <c r="P1265" s="248"/>
      <c r="Q1265" s="201"/>
      <c r="R1265" s="255"/>
      <c r="S1265" s="226"/>
      <c r="T1265" s="235"/>
      <c r="U1265" s="170"/>
    </row>
    <row r="1266" spans="1:21" ht="15.75" hidden="1" outlineLevel="3">
      <c r="A1266" s="162"/>
      <c r="B1266" s="152"/>
      <c r="C1266" s="236" t="s">
        <v>489</v>
      </c>
      <c r="D1266" s="344"/>
      <c r="E1266" s="164"/>
      <c r="F1266" s="165"/>
      <c r="G1266" s="172"/>
      <c r="H1266" s="164"/>
      <c r="I1266" s="164"/>
      <c r="J1266" s="164"/>
      <c r="K1266" s="223"/>
      <c r="L1266" s="234"/>
      <c r="M1266" s="202"/>
      <c r="N1266" s="250"/>
      <c r="O1266" s="203"/>
      <c r="P1266" s="248"/>
      <c r="Q1266" s="201"/>
      <c r="R1266" s="255"/>
      <c r="S1266" s="226"/>
      <c r="T1266" s="235"/>
      <c r="U1266" s="170"/>
    </row>
    <row r="1267" spans="1:21" ht="15.75" hidden="1" outlineLevel="3">
      <c r="A1267" s="162"/>
      <c r="B1267" s="152"/>
      <c r="C1267" s="151" t="s">
        <v>506</v>
      </c>
      <c r="D1267" s="339"/>
      <c r="E1267" s="164"/>
      <c r="F1267" s="165"/>
      <c r="G1267" s="172"/>
      <c r="H1267" s="164"/>
      <c r="I1267" s="164"/>
      <c r="J1267" s="164"/>
      <c r="K1267" s="223"/>
      <c r="L1267" s="234"/>
      <c r="M1267" s="202"/>
      <c r="N1267" s="250"/>
      <c r="O1267" s="203"/>
      <c r="P1267" s="248"/>
      <c r="Q1267" s="201"/>
      <c r="R1267" s="255"/>
      <c r="S1267" s="226"/>
      <c r="T1267" s="235"/>
      <c r="U1267" s="170"/>
    </row>
    <row r="1268" spans="1:21" ht="15.75" hidden="1" outlineLevel="3">
      <c r="A1268" s="162"/>
      <c r="B1268" s="152"/>
      <c r="C1268" s="236" t="s">
        <v>491</v>
      </c>
      <c r="D1268" s="344"/>
      <c r="E1268" s="164"/>
      <c r="F1268" s="165"/>
      <c r="G1268" s="172"/>
      <c r="H1268" s="164"/>
      <c r="I1268" s="164"/>
      <c r="J1268" s="164"/>
      <c r="K1268" s="223"/>
      <c r="L1268" s="234"/>
      <c r="M1268" s="202"/>
      <c r="N1268" s="250"/>
      <c r="O1268" s="203"/>
      <c r="P1268" s="248"/>
      <c r="Q1268" s="201"/>
      <c r="R1268" s="255"/>
      <c r="S1268" s="226"/>
      <c r="T1268" s="235"/>
      <c r="U1268" s="170"/>
    </row>
    <row r="1269" spans="1:21" ht="15.75" hidden="1" outlineLevel="3">
      <c r="A1269" s="162"/>
      <c r="B1269" s="152"/>
      <c r="C1269" s="236" t="s">
        <v>492</v>
      </c>
      <c r="D1269" s="344"/>
      <c r="E1269" s="164"/>
      <c r="F1269" s="165"/>
      <c r="G1269" s="172"/>
      <c r="H1269" s="164"/>
      <c r="I1269" s="164"/>
      <c r="J1269" s="164"/>
      <c r="K1269" s="223"/>
      <c r="L1269" s="234"/>
      <c r="M1269" s="202"/>
      <c r="N1269" s="250"/>
      <c r="O1269" s="203"/>
      <c r="P1269" s="248"/>
      <c r="Q1269" s="201"/>
      <c r="R1269" s="255"/>
      <c r="S1269" s="226"/>
      <c r="T1269" s="235"/>
      <c r="U1269" s="170"/>
    </row>
    <row r="1270" spans="1:21" ht="15.75" hidden="1" outlineLevel="3">
      <c r="A1270" s="162"/>
      <c r="B1270" s="152"/>
      <c r="C1270" s="236" t="s">
        <v>493</v>
      </c>
      <c r="D1270" s="344"/>
      <c r="E1270" s="164"/>
      <c r="F1270" s="165"/>
      <c r="G1270" s="172"/>
      <c r="H1270" s="164"/>
      <c r="I1270" s="164"/>
      <c r="J1270" s="164"/>
      <c r="K1270" s="223"/>
      <c r="L1270" s="234"/>
      <c r="M1270" s="202"/>
      <c r="N1270" s="250"/>
      <c r="O1270" s="203"/>
      <c r="P1270" s="248"/>
      <c r="Q1270" s="201">
        <v>170000</v>
      </c>
      <c r="R1270" s="255">
        <f>Q1270*1.73</f>
        <v>294100</v>
      </c>
      <c r="S1270" s="159">
        <f t="shared" ref="S1270" si="79">SUM(L1270,N1270,P1270,R1270)</f>
        <v>294100</v>
      </c>
      <c r="T1270" s="235"/>
      <c r="U1270" s="170"/>
    </row>
    <row r="1271" spans="1:21" ht="15.75" hidden="1" outlineLevel="3">
      <c r="A1271" s="162"/>
      <c r="B1271" s="152"/>
      <c r="C1271" s="236" t="s">
        <v>494</v>
      </c>
      <c r="D1271" s="344"/>
      <c r="E1271" s="164"/>
      <c r="F1271" s="165"/>
      <c r="G1271" s="172"/>
      <c r="H1271" s="164"/>
      <c r="I1271" s="164"/>
      <c r="J1271" s="164"/>
      <c r="K1271" s="223"/>
      <c r="L1271" s="234"/>
      <c r="M1271" s="202"/>
      <c r="N1271" s="250"/>
      <c r="O1271" s="203"/>
      <c r="P1271" s="248"/>
      <c r="Q1271" s="201"/>
      <c r="R1271" s="255"/>
      <c r="S1271" s="226"/>
      <c r="T1271" s="235"/>
      <c r="U1271" s="161"/>
    </row>
    <row r="1272" spans="1:21" ht="15.75" hidden="1" outlineLevel="3">
      <c r="A1272" s="162"/>
      <c r="B1272" s="152"/>
      <c r="C1272" s="151" t="s">
        <v>507</v>
      </c>
      <c r="D1272" s="339"/>
      <c r="E1272" s="164"/>
      <c r="F1272" s="165"/>
      <c r="G1272" s="172"/>
      <c r="H1272" s="164"/>
      <c r="I1272" s="164"/>
      <c r="J1272" s="164"/>
      <c r="K1272" s="223"/>
      <c r="L1272" s="234"/>
      <c r="M1272" s="202"/>
      <c r="N1272" s="250"/>
      <c r="O1272" s="203"/>
      <c r="P1272" s="248"/>
      <c r="Q1272" s="201"/>
      <c r="R1272" s="255"/>
      <c r="S1272" s="226"/>
      <c r="T1272" s="235"/>
      <c r="U1272" s="170"/>
    </row>
    <row r="1273" spans="1:21" ht="15.75" hidden="1" outlineLevel="3">
      <c r="A1273" s="162"/>
      <c r="B1273" s="152"/>
      <c r="C1273" s="174" t="s">
        <v>496</v>
      </c>
      <c r="D1273" s="340"/>
      <c r="E1273" s="164"/>
      <c r="F1273" s="165"/>
      <c r="G1273" s="172"/>
      <c r="H1273" s="164"/>
      <c r="I1273" s="164"/>
      <c r="J1273" s="164"/>
      <c r="K1273" s="223"/>
      <c r="L1273" s="234"/>
      <c r="M1273" s="202"/>
      <c r="N1273" s="250"/>
      <c r="O1273" s="203"/>
      <c r="P1273" s="248"/>
      <c r="Q1273" s="201"/>
      <c r="R1273" s="255"/>
      <c r="S1273" s="226"/>
      <c r="T1273" s="235"/>
      <c r="U1273" s="170"/>
    </row>
    <row r="1274" spans="1:21" ht="15.75" hidden="1" outlineLevel="3">
      <c r="A1274" s="162"/>
      <c r="B1274" s="152"/>
      <c r="C1274" s="174" t="s">
        <v>497</v>
      </c>
      <c r="D1274" s="340"/>
      <c r="E1274" s="164"/>
      <c r="F1274" s="165"/>
      <c r="G1274" s="172"/>
      <c r="H1274" s="164"/>
      <c r="I1274" s="164"/>
      <c r="J1274" s="164"/>
      <c r="K1274" s="223"/>
      <c r="L1274" s="234"/>
      <c r="M1274" s="202"/>
      <c r="N1274" s="250"/>
      <c r="O1274" s="203"/>
      <c r="P1274" s="248"/>
      <c r="Q1274" s="201"/>
      <c r="R1274" s="255"/>
      <c r="S1274" s="226"/>
      <c r="T1274" s="235"/>
      <c r="U1274" s="170"/>
    </row>
    <row r="1275" spans="1:21" ht="15.75" hidden="1" outlineLevel="3">
      <c r="A1275" s="162"/>
      <c r="B1275" s="152"/>
      <c r="C1275" s="174" t="s">
        <v>499</v>
      </c>
      <c r="D1275" s="340"/>
      <c r="E1275" s="164"/>
      <c r="F1275" s="165"/>
      <c r="G1275" s="172"/>
      <c r="H1275" s="164"/>
      <c r="I1275" s="164"/>
      <c r="J1275" s="164"/>
      <c r="K1275" s="223"/>
      <c r="L1275" s="234"/>
      <c r="M1275" s="202"/>
      <c r="N1275" s="250"/>
      <c r="O1275" s="203"/>
      <c r="P1275" s="248"/>
      <c r="Q1275" s="201"/>
      <c r="R1275" s="255"/>
      <c r="S1275" s="226"/>
      <c r="T1275" s="235"/>
      <c r="U1275" s="170"/>
    </row>
    <row r="1276" spans="1:21" ht="15.75" hidden="1" outlineLevel="3">
      <c r="A1276" s="162"/>
      <c r="B1276" s="152"/>
      <c r="C1276" s="174" t="s">
        <v>526</v>
      </c>
      <c r="D1276" s="340"/>
      <c r="E1276" s="164"/>
      <c r="F1276" s="165"/>
      <c r="G1276" s="172"/>
      <c r="H1276" s="164"/>
      <c r="I1276" s="164"/>
      <c r="J1276" s="164"/>
      <c r="K1276" s="223"/>
      <c r="L1276" s="234"/>
      <c r="M1276" s="202"/>
      <c r="N1276" s="250"/>
      <c r="O1276" s="203"/>
      <c r="P1276" s="248"/>
      <c r="Q1276" s="201"/>
      <c r="R1276" s="255"/>
      <c r="S1276" s="226"/>
      <c r="T1276" s="235"/>
      <c r="U1276" s="161"/>
    </row>
    <row r="1277" spans="1:21" s="135" customFormat="1" ht="15.75" hidden="1" outlineLevel="2" collapsed="1">
      <c r="A1277" s="229"/>
      <c r="B1277" s="289"/>
      <c r="C1277" s="151" t="s">
        <v>651</v>
      </c>
      <c r="D1277" s="339"/>
      <c r="E1277" s="244"/>
      <c r="F1277" s="248"/>
      <c r="G1277" s="249"/>
      <c r="H1277" s="244"/>
      <c r="I1277" s="244"/>
      <c r="J1277" s="244"/>
      <c r="K1277" s="255"/>
      <c r="L1277" s="226"/>
      <c r="M1277" s="202" t="s">
        <v>514</v>
      </c>
      <c r="N1277" s="244"/>
      <c r="O1277" s="203"/>
      <c r="P1277" s="248"/>
      <c r="Q1277" s="201">
        <f>SUM(Q1251:Q1276)</f>
        <v>320000</v>
      </c>
      <c r="R1277" s="255">
        <f>Q1277*1.73</f>
        <v>553600</v>
      </c>
      <c r="S1277" s="159">
        <f t="shared" ref="S1277" si="80">SUM(L1277,N1277,P1277,R1277)</f>
        <v>553600</v>
      </c>
      <c r="T1277" s="235"/>
      <c r="U1277" s="170" t="s">
        <v>652</v>
      </c>
    </row>
    <row r="1278" spans="1:21" s="233" customFormat="1" hidden="1" outlineLevel="3">
      <c r="A1278" s="232"/>
      <c r="B1278" s="151" t="s">
        <v>655</v>
      </c>
      <c r="C1278" s="171"/>
      <c r="D1278" s="343"/>
      <c r="E1278" s="157"/>
      <c r="F1278" s="158"/>
      <c r="G1278" s="197"/>
      <c r="H1278" s="157"/>
      <c r="I1278" s="157"/>
      <c r="J1278" s="157"/>
      <c r="K1278" s="215"/>
      <c r="L1278" s="155"/>
      <c r="M1278" s="156"/>
      <c r="N1278" s="250"/>
      <c r="O1278" s="157"/>
      <c r="P1278" s="248"/>
      <c r="Q1278" s="158"/>
      <c r="R1278" s="255"/>
      <c r="S1278" s="245"/>
      <c r="T1278" s="246"/>
      <c r="U1278" s="170"/>
    </row>
    <row r="1279" spans="1:21" ht="15.75" hidden="1" outlineLevel="3">
      <c r="A1279" s="162"/>
      <c r="B1279" s="152"/>
      <c r="C1279" s="151" t="s">
        <v>503</v>
      </c>
      <c r="D1279" s="339"/>
      <c r="E1279" s="164"/>
      <c r="F1279" s="165"/>
      <c r="G1279" s="172"/>
      <c r="H1279" s="164"/>
      <c r="I1279" s="164"/>
      <c r="J1279" s="164"/>
      <c r="K1279" s="223"/>
      <c r="L1279" s="234"/>
      <c r="M1279" s="202"/>
      <c r="N1279" s="250"/>
      <c r="O1279" s="203"/>
      <c r="P1279" s="248"/>
      <c r="Q1279" s="201"/>
      <c r="R1279" s="255"/>
      <c r="S1279" s="226"/>
      <c r="T1279" s="235"/>
      <c r="U1279" s="170"/>
    </row>
    <row r="1280" spans="1:21" ht="15.75" hidden="1" outlineLevel="3">
      <c r="A1280" s="162"/>
      <c r="B1280" s="152"/>
      <c r="C1280" s="236" t="s">
        <v>520</v>
      </c>
      <c r="D1280" s="344"/>
      <c r="E1280" s="164"/>
      <c r="F1280" s="165"/>
      <c r="G1280" s="172"/>
      <c r="H1280" s="164"/>
      <c r="I1280" s="164"/>
      <c r="J1280" s="164"/>
      <c r="K1280" s="223"/>
      <c r="L1280" s="234"/>
      <c r="M1280" s="202"/>
      <c r="N1280" s="250"/>
      <c r="O1280" s="203"/>
      <c r="P1280" s="248"/>
      <c r="Q1280" s="201"/>
      <c r="R1280" s="255"/>
      <c r="S1280" s="226"/>
      <c r="T1280" s="235"/>
      <c r="U1280" s="170"/>
    </row>
    <row r="1281" spans="1:21" ht="15.75" hidden="1" outlineLevel="3">
      <c r="A1281" s="162"/>
      <c r="B1281" s="152"/>
      <c r="C1281" s="236" t="s">
        <v>478</v>
      </c>
      <c r="D1281" s="344"/>
      <c r="E1281" s="164"/>
      <c r="F1281" s="165"/>
      <c r="G1281" s="172"/>
      <c r="H1281" s="164"/>
      <c r="I1281" s="164"/>
      <c r="J1281" s="164"/>
      <c r="K1281" s="223"/>
      <c r="L1281" s="234"/>
      <c r="M1281" s="202"/>
      <c r="N1281" s="250"/>
      <c r="O1281" s="203"/>
      <c r="P1281" s="248"/>
      <c r="Q1281" s="201"/>
      <c r="R1281" s="255"/>
      <c r="S1281" s="226"/>
      <c r="T1281" s="235"/>
      <c r="U1281" s="170"/>
    </row>
    <row r="1282" spans="1:21" ht="15.75" hidden="1" outlineLevel="3">
      <c r="A1282" s="162"/>
      <c r="B1282" s="152"/>
      <c r="C1282" s="236" t="s">
        <v>479</v>
      </c>
      <c r="D1282" s="344"/>
      <c r="E1282" s="164"/>
      <c r="F1282" s="165"/>
      <c r="G1282" s="172"/>
      <c r="H1282" s="164"/>
      <c r="I1282" s="164"/>
      <c r="J1282" s="164"/>
      <c r="K1282" s="223"/>
      <c r="L1282" s="220"/>
      <c r="M1282" s="204"/>
      <c r="N1282" s="250"/>
      <c r="O1282" s="203"/>
      <c r="P1282" s="248"/>
      <c r="Q1282" s="201"/>
      <c r="R1282" s="255"/>
      <c r="S1282" s="226"/>
      <c r="T1282" s="235"/>
      <c r="U1282" s="170"/>
    </row>
    <row r="1283" spans="1:21" ht="15.75" hidden="1" outlineLevel="3">
      <c r="A1283" s="162"/>
      <c r="B1283" s="152"/>
      <c r="C1283" s="236" t="s">
        <v>480</v>
      </c>
      <c r="D1283" s="344"/>
      <c r="E1283" s="164"/>
      <c r="F1283" s="165"/>
      <c r="G1283" s="172"/>
      <c r="H1283" s="164"/>
      <c r="I1283" s="164"/>
      <c r="J1283" s="164" t="s">
        <v>514</v>
      </c>
      <c r="K1283" s="223"/>
      <c r="L1283" s="234"/>
      <c r="M1283" s="202"/>
      <c r="N1283" s="250"/>
      <c r="O1283" s="203"/>
      <c r="P1283" s="248"/>
      <c r="Q1283" s="201"/>
      <c r="R1283" s="255"/>
      <c r="S1283" s="226"/>
      <c r="T1283" s="235"/>
      <c r="U1283" s="170"/>
    </row>
    <row r="1284" spans="1:21" ht="15.75" hidden="1" outlineLevel="3">
      <c r="A1284" s="162"/>
      <c r="B1284" s="152"/>
      <c r="C1284" s="236" t="s">
        <v>512</v>
      </c>
      <c r="D1284" s="344"/>
      <c r="E1284" s="164"/>
      <c r="F1284" s="165"/>
      <c r="G1284" s="172"/>
      <c r="H1284" s="164"/>
      <c r="I1284" s="164"/>
      <c r="J1284" s="164"/>
      <c r="K1284" s="223"/>
      <c r="L1284" s="234"/>
      <c r="M1284" s="202"/>
      <c r="N1284" s="250"/>
      <c r="O1284" s="203"/>
      <c r="P1284" s="248"/>
      <c r="Q1284" s="201"/>
      <c r="R1284" s="255"/>
      <c r="S1284" s="226"/>
      <c r="T1284" s="235"/>
      <c r="U1284" s="170"/>
    </row>
    <row r="1285" spans="1:21" ht="15.75" hidden="1" outlineLevel="3">
      <c r="A1285" s="162"/>
      <c r="B1285" s="152"/>
      <c r="C1285" s="151" t="s">
        <v>504</v>
      </c>
      <c r="D1285" s="339"/>
      <c r="E1285" s="164"/>
      <c r="F1285" s="165"/>
      <c r="G1285" s="172"/>
      <c r="H1285" s="164"/>
      <c r="I1285" s="164"/>
      <c r="J1285" s="164"/>
      <c r="K1285" s="223"/>
      <c r="L1285" s="234"/>
      <c r="M1285" s="202"/>
      <c r="N1285" s="250"/>
      <c r="O1285" s="203"/>
      <c r="P1285" s="248"/>
      <c r="Q1285" s="201"/>
      <c r="R1285" s="255"/>
      <c r="S1285" s="226"/>
      <c r="T1285" s="235"/>
      <c r="U1285" s="170"/>
    </row>
    <row r="1286" spans="1:21" ht="15.75" hidden="1" outlineLevel="3">
      <c r="A1286" s="162"/>
      <c r="B1286" s="152"/>
      <c r="C1286" s="236" t="s">
        <v>483</v>
      </c>
      <c r="D1286" s="344"/>
      <c r="E1286" s="164"/>
      <c r="F1286" s="165"/>
      <c r="G1286" s="172"/>
      <c r="H1286" s="164"/>
      <c r="I1286" s="164"/>
      <c r="J1286" s="164"/>
      <c r="K1286" s="223"/>
      <c r="L1286" s="234"/>
      <c r="M1286" s="202"/>
      <c r="N1286" s="250"/>
      <c r="O1286" s="203"/>
      <c r="P1286" s="248"/>
      <c r="Q1286" s="201"/>
      <c r="R1286" s="255"/>
      <c r="S1286" s="226"/>
      <c r="T1286" s="235"/>
      <c r="U1286" s="170"/>
    </row>
    <row r="1287" spans="1:21" ht="15.75" hidden="1" outlineLevel="3">
      <c r="A1287" s="162"/>
      <c r="B1287" s="152"/>
      <c r="C1287" s="236" t="s">
        <v>484</v>
      </c>
      <c r="D1287" s="344"/>
      <c r="E1287" s="164"/>
      <c r="F1287" s="165"/>
      <c r="G1287" s="172"/>
      <c r="H1287" s="164"/>
      <c r="I1287" s="164"/>
      <c r="J1287" s="164"/>
      <c r="K1287" s="223"/>
      <c r="L1287" s="234"/>
      <c r="M1287" s="202"/>
      <c r="N1287" s="250"/>
      <c r="O1287" s="203"/>
      <c r="P1287" s="248"/>
      <c r="Q1287" s="201"/>
      <c r="R1287" s="255"/>
      <c r="S1287" s="226"/>
      <c r="T1287" s="235"/>
      <c r="U1287" s="170"/>
    </row>
    <row r="1288" spans="1:21" ht="15.75" hidden="1" outlineLevel="3">
      <c r="A1288" s="162"/>
      <c r="B1288" s="152"/>
      <c r="C1288" s="236" t="s">
        <v>479</v>
      </c>
      <c r="D1288" s="344"/>
      <c r="E1288" s="164"/>
      <c r="F1288" s="165"/>
      <c r="G1288" s="172"/>
      <c r="H1288" s="164"/>
      <c r="I1288" s="164"/>
      <c r="J1288" s="164"/>
      <c r="K1288" s="223"/>
      <c r="L1288" s="234"/>
      <c r="M1288" s="202"/>
      <c r="N1288" s="250"/>
      <c r="O1288" s="203"/>
      <c r="P1288" s="248"/>
      <c r="Q1288" s="201"/>
      <c r="R1288" s="255"/>
      <c r="S1288" s="226"/>
      <c r="T1288" s="235"/>
      <c r="U1288" s="170"/>
    </row>
    <row r="1289" spans="1:21" ht="15.75" hidden="1" outlineLevel="3">
      <c r="A1289" s="162"/>
      <c r="B1289" s="152"/>
      <c r="C1289" s="236" t="s">
        <v>485</v>
      </c>
      <c r="D1289" s="344"/>
      <c r="E1289" s="164"/>
      <c r="F1289" s="165"/>
      <c r="G1289" s="172"/>
      <c r="H1289" s="164"/>
      <c r="I1289" s="164"/>
      <c r="J1289" s="164"/>
      <c r="K1289" s="223"/>
      <c r="L1289" s="234"/>
      <c r="M1289" s="202"/>
      <c r="N1289" s="250"/>
      <c r="O1289" s="203"/>
      <c r="P1289" s="248"/>
      <c r="Q1289" s="201"/>
      <c r="R1289" s="255"/>
      <c r="S1289" s="226"/>
      <c r="T1289" s="235"/>
      <c r="U1289" s="170"/>
    </row>
    <row r="1290" spans="1:21" ht="15.75" hidden="1" outlineLevel="3">
      <c r="A1290" s="162"/>
      <c r="B1290" s="152"/>
      <c r="C1290" s="151" t="s">
        <v>505</v>
      </c>
      <c r="D1290" s="339"/>
      <c r="E1290" s="164"/>
      <c r="F1290" s="165"/>
      <c r="G1290" s="172"/>
      <c r="H1290" s="164"/>
      <c r="I1290" s="164"/>
      <c r="J1290" s="164"/>
      <c r="K1290" s="223"/>
      <c r="L1290" s="234"/>
      <c r="M1290" s="202"/>
      <c r="N1290" s="250"/>
      <c r="O1290" s="203"/>
      <c r="P1290" s="248"/>
      <c r="Q1290" s="201"/>
      <c r="R1290" s="255"/>
      <c r="S1290" s="226"/>
      <c r="T1290" s="235"/>
      <c r="U1290" s="170"/>
    </row>
    <row r="1291" spans="1:21" ht="15.75" hidden="1" outlineLevel="3">
      <c r="A1291" s="162"/>
      <c r="B1291" s="152"/>
      <c r="C1291" s="236" t="s">
        <v>487</v>
      </c>
      <c r="D1291" s="344"/>
      <c r="E1291" s="164"/>
      <c r="F1291" s="165"/>
      <c r="G1291" s="172"/>
      <c r="H1291" s="164"/>
      <c r="I1291" s="164"/>
      <c r="J1291" s="164"/>
      <c r="K1291" s="223"/>
      <c r="L1291" s="234"/>
      <c r="M1291" s="202"/>
      <c r="N1291" s="250"/>
      <c r="O1291" s="203"/>
      <c r="P1291" s="248"/>
      <c r="Q1291" s="201"/>
      <c r="R1291" s="255"/>
      <c r="S1291" s="226"/>
      <c r="T1291" s="235"/>
      <c r="U1291" s="170"/>
    </row>
    <row r="1292" spans="1:21" ht="15.75" hidden="1" outlineLevel="3">
      <c r="A1292" s="162"/>
      <c r="B1292" s="152"/>
      <c r="C1292" s="236" t="s">
        <v>479</v>
      </c>
      <c r="D1292" s="344"/>
      <c r="E1292" s="164"/>
      <c r="F1292" s="165"/>
      <c r="G1292" s="172"/>
      <c r="H1292" s="164"/>
      <c r="I1292" s="164"/>
      <c r="J1292" s="164"/>
      <c r="K1292" s="223"/>
      <c r="L1292" s="234"/>
      <c r="M1292" s="202"/>
      <c r="N1292" s="250"/>
      <c r="O1292" s="203"/>
      <c r="P1292" s="248"/>
      <c r="Q1292" s="201"/>
      <c r="R1292" s="255"/>
      <c r="S1292" s="226"/>
      <c r="T1292" s="235"/>
      <c r="U1292" s="170"/>
    </row>
    <row r="1293" spans="1:21" ht="15.75" hidden="1" outlineLevel="3">
      <c r="A1293" s="162"/>
      <c r="B1293" s="152"/>
      <c r="C1293" s="236" t="s">
        <v>488</v>
      </c>
      <c r="D1293" s="344"/>
      <c r="E1293" s="164"/>
      <c r="F1293" s="165"/>
      <c r="G1293" s="172"/>
      <c r="H1293" s="164"/>
      <c r="I1293" s="164"/>
      <c r="J1293" s="164"/>
      <c r="K1293" s="223"/>
      <c r="L1293" s="234"/>
      <c r="M1293" s="202"/>
      <c r="N1293" s="250"/>
      <c r="O1293" s="203"/>
      <c r="P1293" s="248"/>
      <c r="Q1293" s="201"/>
      <c r="R1293" s="255"/>
      <c r="S1293" s="226"/>
      <c r="T1293" s="235"/>
      <c r="U1293" s="170"/>
    </row>
    <row r="1294" spans="1:21" ht="15.75" hidden="1" outlineLevel="3">
      <c r="A1294" s="162"/>
      <c r="B1294" s="152"/>
      <c r="C1294" s="236" t="s">
        <v>489</v>
      </c>
      <c r="D1294" s="344"/>
      <c r="E1294" s="164"/>
      <c r="F1294" s="165"/>
      <c r="G1294" s="172"/>
      <c r="H1294" s="164"/>
      <c r="I1294" s="164"/>
      <c r="J1294" s="164"/>
      <c r="K1294" s="223"/>
      <c r="L1294" s="234"/>
      <c r="M1294" s="202"/>
      <c r="N1294" s="250"/>
      <c r="O1294" s="203"/>
      <c r="P1294" s="248"/>
      <c r="Q1294" s="201"/>
      <c r="R1294" s="255"/>
      <c r="S1294" s="226"/>
      <c r="T1294" s="235"/>
      <c r="U1294" s="170"/>
    </row>
    <row r="1295" spans="1:21" ht="15.75" hidden="1" outlineLevel="3">
      <c r="A1295" s="162"/>
      <c r="B1295" s="152"/>
      <c r="C1295" s="151" t="s">
        <v>506</v>
      </c>
      <c r="D1295" s="339"/>
      <c r="E1295" s="164"/>
      <c r="F1295" s="165"/>
      <c r="G1295" s="172"/>
      <c r="H1295" s="164"/>
      <c r="I1295" s="164"/>
      <c r="J1295" s="164"/>
      <c r="K1295" s="223"/>
      <c r="L1295" s="234"/>
      <c r="M1295" s="202"/>
      <c r="N1295" s="250"/>
      <c r="O1295" s="203"/>
      <c r="P1295" s="248"/>
      <c r="Q1295" s="201"/>
      <c r="R1295" s="255"/>
      <c r="S1295" s="226"/>
      <c r="T1295" s="235"/>
      <c r="U1295" s="170"/>
    </row>
    <row r="1296" spans="1:21" ht="15.75" hidden="1" outlineLevel="3">
      <c r="A1296" s="162"/>
      <c r="B1296" s="152"/>
      <c r="C1296" s="236" t="s">
        <v>491</v>
      </c>
      <c r="D1296" s="344"/>
      <c r="E1296" s="164"/>
      <c r="F1296" s="165"/>
      <c r="G1296" s="172"/>
      <c r="H1296" s="164"/>
      <c r="I1296" s="164"/>
      <c r="J1296" s="164"/>
      <c r="K1296" s="223"/>
      <c r="L1296" s="234"/>
      <c r="M1296" s="202"/>
      <c r="N1296" s="250"/>
      <c r="O1296" s="203"/>
      <c r="P1296" s="248"/>
      <c r="Q1296" s="201"/>
      <c r="R1296" s="255"/>
      <c r="S1296" s="226"/>
      <c r="T1296" s="235"/>
      <c r="U1296" s="170"/>
    </row>
    <row r="1297" spans="1:21" ht="15.75" hidden="1" outlineLevel="3">
      <c r="A1297" s="162"/>
      <c r="B1297" s="152"/>
      <c r="C1297" s="236" t="s">
        <v>492</v>
      </c>
      <c r="D1297" s="344"/>
      <c r="E1297" s="164"/>
      <c r="F1297" s="165"/>
      <c r="G1297" s="172"/>
      <c r="H1297" s="164"/>
      <c r="I1297" s="164"/>
      <c r="J1297" s="164"/>
      <c r="K1297" s="223"/>
      <c r="L1297" s="234"/>
      <c r="M1297" s="202"/>
      <c r="N1297" s="250"/>
      <c r="O1297" s="203"/>
      <c r="P1297" s="248"/>
      <c r="Q1297" s="201"/>
      <c r="R1297" s="255"/>
      <c r="S1297" s="226"/>
      <c r="T1297" s="235"/>
      <c r="U1297" s="170"/>
    </row>
    <row r="1298" spans="1:21" ht="15.75" hidden="1" outlineLevel="3">
      <c r="A1298" s="162"/>
      <c r="B1298" s="152"/>
      <c r="C1298" s="236" t="s">
        <v>493</v>
      </c>
      <c r="D1298" s="344"/>
      <c r="E1298" s="164"/>
      <c r="F1298" s="165"/>
      <c r="G1298" s="172"/>
      <c r="H1298" s="164"/>
      <c r="I1298" s="164"/>
      <c r="J1298" s="164"/>
      <c r="K1298" s="223"/>
      <c r="L1298" s="234"/>
      <c r="M1298" s="202"/>
      <c r="N1298" s="250"/>
      <c r="O1298" s="203"/>
      <c r="P1298" s="248"/>
      <c r="Q1298" s="201"/>
      <c r="R1298" s="255"/>
      <c r="S1298" s="226"/>
      <c r="T1298" s="235"/>
      <c r="U1298" s="170"/>
    </row>
    <row r="1299" spans="1:21" ht="15.75" hidden="1" outlineLevel="3">
      <c r="A1299" s="162"/>
      <c r="B1299" s="152"/>
      <c r="C1299" s="236" t="s">
        <v>494</v>
      </c>
      <c r="D1299" s="344"/>
      <c r="E1299" s="164"/>
      <c r="F1299" s="165"/>
      <c r="G1299" s="172"/>
      <c r="H1299" s="164"/>
      <c r="I1299" s="164"/>
      <c r="J1299" s="164"/>
      <c r="K1299" s="223"/>
      <c r="L1299" s="234"/>
      <c r="M1299" s="202"/>
      <c r="N1299" s="250"/>
      <c r="O1299" s="203"/>
      <c r="P1299" s="248"/>
      <c r="Q1299" s="201"/>
      <c r="R1299" s="255"/>
      <c r="S1299" s="226"/>
      <c r="T1299" s="235"/>
      <c r="U1299" s="161"/>
    </row>
    <row r="1300" spans="1:21" ht="15.75" hidden="1" outlineLevel="3">
      <c r="A1300" s="162"/>
      <c r="B1300" s="152"/>
      <c r="C1300" s="151" t="s">
        <v>507</v>
      </c>
      <c r="D1300" s="339"/>
      <c r="E1300" s="164"/>
      <c r="F1300" s="165"/>
      <c r="G1300" s="172"/>
      <c r="H1300" s="164"/>
      <c r="I1300" s="164"/>
      <c r="J1300" s="164"/>
      <c r="K1300" s="223"/>
      <c r="L1300" s="234"/>
      <c r="M1300" s="202"/>
      <c r="N1300" s="250"/>
      <c r="O1300" s="203"/>
      <c r="P1300" s="248"/>
      <c r="Q1300" s="201"/>
      <c r="R1300" s="255"/>
      <c r="S1300" s="226"/>
      <c r="T1300" s="235"/>
      <c r="U1300" s="170"/>
    </row>
    <row r="1301" spans="1:21" ht="15.75" hidden="1" outlineLevel="3">
      <c r="A1301" s="162"/>
      <c r="B1301" s="152"/>
      <c r="C1301" s="174" t="s">
        <v>496</v>
      </c>
      <c r="D1301" s="340"/>
      <c r="E1301" s="164"/>
      <c r="F1301" s="165"/>
      <c r="G1301" s="172"/>
      <c r="H1301" s="164"/>
      <c r="I1301" s="164"/>
      <c r="J1301" s="164"/>
      <c r="K1301" s="223"/>
      <c r="L1301" s="234"/>
      <c r="M1301" s="202"/>
      <c r="N1301" s="250"/>
      <c r="O1301" s="203"/>
      <c r="P1301" s="248"/>
      <c r="Q1301" s="201"/>
      <c r="R1301" s="255"/>
      <c r="S1301" s="226"/>
      <c r="T1301" s="235"/>
      <c r="U1301" s="170"/>
    </row>
    <row r="1302" spans="1:21" ht="15.75" hidden="1" outlineLevel="3">
      <c r="A1302" s="162"/>
      <c r="B1302" s="152"/>
      <c r="C1302" s="174" t="s">
        <v>497</v>
      </c>
      <c r="D1302" s="340"/>
      <c r="E1302" s="164"/>
      <c r="F1302" s="165"/>
      <c r="G1302" s="172"/>
      <c r="H1302" s="164"/>
      <c r="I1302" s="164"/>
      <c r="J1302" s="164"/>
      <c r="K1302" s="223"/>
      <c r="L1302" s="234"/>
      <c r="M1302" s="202"/>
      <c r="N1302" s="250"/>
      <c r="O1302" s="203"/>
      <c r="P1302" s="248"/>
      <c r="Q1302" s="201"/>
      <c r="R1302" s="255"/>
      <c r="S1302" s="226"/>
      <c r="T1302" s="235"/>
      <c r="U1302" s="170"/>
    </row>
    <row r="1303" spans="1:21" ht="15.75" hidden="1" outlineLevel="3">
      <c r="A1303" s="162"/>
      <c r="B1303" s="152"/>
      <c r="C1303" s="174" t="s">
        <v>499</v>
      </c>
      <c r="D1303" s="340"/>
      <c r="E1303" s="164"/>
      <c r="F1303" s="165"/>
      <c r="G1303" s="172"/>
      <c r="H1303" s="164"/>
      <c r="I1303" s="164"/>
      <c r="J1303" s="164"/>
      <c r="K1303" s="223"/>
      <c r="L1303" s="234"/>
      <c r="M1303" s="202"/>
      <c r="N1303" s="250"/>
      <c r="O1303" s="203"/>
      <c r="P1303" s="248"/>
      <c r="Q1303" s="201"/>
      <c r="R1303" s="255"/>
      <c r="S1303" s="226"/>
      <c r="T1303" s="235"/>
      <c r="U1303" s="170"/>
    </row>
    <row r="1304" spans="1:21" ht="15.75" hidden="1" outlineLevel="3">
      <c r="A1304" s="162"/>
      <c r="B1304" s="152"/>
      <c r="C1304" s="174" t="s">
        <v>526</v>
      </c>
      <c r="D1304" s="340"/>
      <c r="E1304" s="164"/>
      <c r="F1304" s="165"/>
      <c r="G1304" s="172"/>
      <c r="H1304" s="164"/>
      <c r="I1304" s="164"/>
      <c r="J1304" s="164"/>
      <c r="K1304" s="223"/>
      <c r="L1304" s="234"/>
      <c r="M1304" s="202"/>
      <c r="N1304" s="250"/>
      <c r="O1304" s="203"/>
      <c r="P1304" s="248"/>
      <c r="Q1304" s="201"/>
      <c r="R1304" s="255"/>
      <c r="S1304" s="226"/>
      <c r="T1304" s="235"/>
      <c r="U1304" s="161"/>
    </row>
    <row r="1305" spans="1:21" ht="15.75" hidden="1" outlineLevel="3">
      <c r="A1305" s="162"/>
      <c r="B1305" s="152"/>
      <c r="C1305" s="174" t="s">
        <v>656</v>
      </c>
      <c r="D1305" s="340"/>
      <c r="E1305" s="164"/>
      <c r="F1305" s="165"/>
      <c r="G1305" s="205"/>
      <c r="H1305" s="164"/>
      <c r="I1305" s="164"/>
      <c r="J1305" s="164"/>
      <c r="K1305" s="223"/>
      <c r="L1305" s="167"/>
      <c r="M1305" s="202"/>
      <c r="N1305" s="250"/>
      <c r="O1305" s="203"/>
      <c r="P1305" s="248"/>
      <c r="Q1305" s="201"/>
      <c r="R1305" s="255"/>
      <c r="S1305" s="226"/>
      <c r="T1305" s="235"/>
      <c r="U1305" s="161"/>
    </row>
    <row r="1306" spans="1:21" ht="15.75" hidden="1" outlineLevel="2" collapsed="1">
      <c r="A1306" s="162"/>
      <c r="B1306" s="152"/>
      <c r="C1306" s="151" t="s">
        <v>655</v>
      </c>
      <c r="D1306" s="339"/>
      <c r="E1306" s="164"/>
      <c r="F1306" s="165"/>
      <c r="G1306" s="383"/>
      <c r="H1306" s="164"/>
      <c r="I1306" s="164"/>
      <c r="J1306" s="164"/>
      <c r="K1306" s="223"/>
      <c r="L1306" s="226"/>
      <c r="M1306" s="202"/>
      <c r="N1306" s="244"/>
      <c r="O1306" s="203"/>
      <c r="P1306" s="248"/>
      <c r="Q1306" s="201"/>
      <c r="R1306" s="255"/>
      <c r="S1306" s="226"/>
      <c r="T1306" s="235"/>
      <c r="U1306" s="161" t="s">
        <v>657</v>
      </c>
    </row>
    <row r="1307" spans="1:21" hidden="1" outlineLevel="1" collapsed="1">
      <c r="A1307" s="231"/>
      <c r="B1307" s="151"/>
      <c r="C1307" s="560" t="s">
        <v>658</v>
      </c>
      <c r="D1307" s="561"/>
      <c r="E1307" s="164"/>
      <c r="F1307" s="165"/>
      <c r="G1307" s="249">
        <f>SUM(G1100,G1129,G1157,G1160,G1163,G1192,G1221,G1249,G1277,G1306)</f>
        <v>4972000</v>
      </c>
      <c r="H1307" s="244">
        <f t="shared" ref="H1307:Q1307" si="81">SUM(H1100,H1129,H1157,H1160,H1163,H1192,H1221,H1249,H1277,H1306)</f>
        <v>7500000</v>
      </c>
      <c r="I1307" s="244">
        <f t="shared" si="81"/>
        <v>6000000</v>
      </c>
      <c r="J1307" s="244">
        <f t="shared" si="81"/>
        <v>0</v>
      </c>
      <c r="K1307" s="255">
        <f t="shared" si="81"/>
        <v>0</v>
      </c>
      <c r="L1307" s="159">
        <f t="shared" si="81"/>
        <v>15750000</v>
      </c>
      <c r="M1307" s="197">
        <f t="shared" si="81"/>
        <v>8026000</v>
      </c>
      <c r="N1307" s="250">
        <f>M1307*1.23</f>
        <v>9871980</v>
      </c>
      <c r="O1307" s="197">
        <f t="shared" si="81"/>
        <v>10125000</v>
      </c>
      <c r="P1307" s="248">
        <f>O1307*1.46</f>
        <v>14782500</v>
      </c>
      <c r="Q1307" s="311">
        <f t="shared" si="81"/>
        <v>17439000</v>
      </c>
      <c r="R1307" s="255">
        <f>Q1307*1.73</f>
        <v>30169470</v>
      </c>
      <c r="S1307" s="159">
        <f t="shared" ref="S1307" si="82">SUM(L1307,N1307,P1307,R1307)</f>
        <v>70573950</v>
      </c>
      <c r="T1307" s="225"/>
      <c r="U1307" s="170"/>
    </row>
    <row r="1308" spans="1:21" hidden="1" outlineLevel="2">
      <c r="A1308" s="231"/>
      <c r="B1308" s="151" t="s">
        <v>659</v>
      </c>
      <c r="C1308" s="163"/>
      <c r="D1308" s="338"/>
      <c r="E1308" s="164"/>
      <c r="F1308" s="165"/>
      <c r="G1308" s="172"/>
      <c r="H1308" s="164"/>
      <c r="I1308" s="164"/>
      <c r="J1308" s="164"/>
      <c r="K1308" s="223"/>
      <c r="L1308" s="173"/>
      <c r="M1308" s="230"/>
      <c r="N1308" s="250"/>
      <c r="O1308" s="256"/>
      <c r="P1308" s="248"/>
      <c r="Q1308" s="506"/>
      <c r="R1308" s="255"/>
      <c r="S1308" s="245"/>
      <c r="T1308" s="246"/>
      <c r="U1308" s="170"/>
    </row>
    <row r="1309" spans="1:21" s="233" customFormat="1" hidden="1" outlineLevel="3">
      <c r="A1309" s="232"/>
      <c r="B1309" s="151" t="s">
        <v>660</v>
      </c>
      <c r="C1309" s="171"/>
      <c r="D1309" s="343"/>
      <c r="E1309" s="157"/>
      <c r="F1309" s="158"/>
      <c r="G1309" s="197"/>
      <c r="H1309" s="157"/>
      <c r="I1309" s="157"/>
      <c r="J1309" s="157"/>
      <c r="K1309" s="215"/>
      <c r="L1309" s="155"/>
      <c r="M1309" s="156"/>
      <c r="N1309" s="250"/>
      <c r="O1309" s="157"/>
      <c r="P1309" s="248"/>
      <c r="Q1309" s="158"/>
      <c r="R1309" s="255"/>
      <c r="S1309" s="159"/>
      <c r="T1309" s="225"/>
      <c r="U1309" s="170"/>
    </row>
    <row r="1310" spans="1:21" ht="15.75" hidden="1" outlineLevel="3">
      <c r="A1310" s="162"/>
      <c r="B1310" s="152"/>
      <c r="C1310" s="151" t="s">
        <v>503</v>
      </c>
      <c r="D1310" s="339"/>
      <c r="E1310" s="164"/>
      <c r="F1310" s="165"/>
      <c r="G1310" s="172"/>
      <c r="H1310" s="164"/>
      <c r="I1310" s="164"/>
      <c r="J1310" s="164"/>
      <c r="K1310" s="223"/>
      <c r="L1310" s="234"/>
      <c r="M1310" s="202"/>
      <c r="N1310" s="250"/>
      <c r="O1310" s="203"/>
      <c r="P1310" s="248"/>
      <c r="Q1310" s="201"/>
      <c r="R1310" s="255"/>
      <c r="S1310" s="226"/>
      <c r="T1310" s="235"/>
      <c r="U1310" s="170"/>
    </row>
    <row r="1311" spans="1:21" ht="15.75" hidden="1" outlineLevel="3">
      <c r="A1311" s="162"/>
      <c r="B1311" s="152"/>
      <c r="C1311" s="236" t="s">
        <v>520</v>
      </c>
      <c r="D1311" s="344"/>
      <c r="E1311" s="164"/>
      <c r="F1311" s="165"/>
      <c r="G1311" s="172"/>
      <c r="H1311" s="164"/>
      <c r="I1311" s="164"/>
      <c r="J1311" s="164"/>
      <c r="K1311" s="223"/>
      <c r="L1311" s="234"/>
      <c r="M1311" s="202"/>
      <c r="N1311" s="250"/>
      <c r="O1311" s="203"/>
      <c r="P1311" s="248"/>
      <c r="Q1311" s="201"/>
      <c r="R1311" s="255"/>
      <c r="S1311" s="226"/>
      <c r="T1311" s="235"/>
      <c r="U1311" s="170"/>
    </row>
    <row r="1312" spans="1:21" ht="15.75" hidden="1" outlineLevel="3">
      <c r="A1312" s="162"/>
      <c r="B1312" s="152"/>
      <c r="C1312" s="236" t="s">
        <v>478</v>
      </c>
      <c r="D1312" s="344"/>
      <c r="E1312" s="164"/>
      <c r="F1312" s="165"/>
      <c r="G1312" s="172"/>
      <c r="H1312" s="164"/>
      <c r="I1312" s="164"/>
      <c r="J1312" s="219">
        <f>CIP!$AU$97</f>
        <v>0</v>
      </c>
      <c r="K1312" s="223"/>
      <c r="L1312" s="234">
        <f>SUM(G1312:K1312)</f>
        <v>0</v>
      </c>
      <c r="M1312" s="202"/>
      <c r="N1312" s="250"/>
      <c r="O1312" s="203"/>
      <c r="P1312" s="248"/>
      <c r="Q1312" s="201"/>
      <c r="R1312" s="255"/>
      <c r="S1312" s="159">
        <f t="shared" ref="S1312" si="83">SUM(L1312,N1312,P1312,R1312)</f>
        <v>0</v>
      </c>
      <c r="T1312" s="235"/>
      <c r="U1312" s="170"/>
    </row>
    <row r="1313" spans="1:21" ht="15.75" hidden="1" outlineLevel="3">
      <c r="A1313" s="162"/>
      <c r="B1313" s="152"/>
      <c r="C1313" s="236" t="s">
        <v>479</v>
      </c>
      <c r="D1313" s="344"/>
      <c r="E1313" s="164"/>
      <c r="F1313" s="165"/>
      <c r="G1313" s="172"/>
      <c r="H1313" s="164"/>
      <c r="I1313" s="164"/>
      <c r="J1313" s="164"/>
      <c r="K1313" s="223"/>
      <c r="L1313" s="220"/>
      <c r="M1313" s="204"/>
      <c r="N1313" s="250"/>
      <c r="O1313" s="203"/>
      <c r="P1313" s="248"/>
      <c r="Q1313" s="201"/>
      <c r="R1313" s="255"/>
      <c r="S1313" s="226"/>
      <c r="T1313" s="235"/>
      <c r="U1313" s="170"/>
    </row>
    <row r="1314" spans="1:21" ht="15.75" hidden="1" outlineLevel="3">
      <c r="A1314" s="162"/>
      <c r="B1314" s="152"/>
      <c r="C1314" s="236" t="s">
        <v>480</v>
      </c>
      <c r="D1314" s="344"/>
      <c r="E1314" s="164"/>
      <c r="F1314" s="165"/>
      <c r="G1314" s="172"/>
      <c r="H1314" s="164"/>
      <c r="I1314" s="164"/>
      <c r="J1314" s="164"/>
      <c r="K1314" s="223"/>
      <c r="L1314" s="234"/>
      <c r="M1314" s="202"/>
      <c r="N1314" s="250"/>
      <c r="O1314" s="203"/>
      <c r="P1314" s="248"/>
      <c r="Q1314" s="201"/>
      <c r="R1314" s="255"/>
      <c r="S1314" s="226"/>
      <c r="T1314" s="235"/>
      <c r="U1314" s="170"/>
    </row>
    <row r="1315" spans="1:21" ht="15.75" hidden="1" outlineLevel="3">
      <c r="A1315" s="162"/>
      <c r="B1315" s="152"/>
      <c r="C1315" s="236" t="s">
        <v>512</v>
      </c>
      <c r="D1315" s="344"/>
      <c r="E1315" s="164"/>
      <c r="F1315" s="165"/>
      <c r="G1315" s="172"/>
      <c r="H1315" s="164"/>
      <c r="I1315" s="164"/>
      <c r="J1315" s="164"/>
      <c r="K1315" s="223"/>
      <c r="L1315" s="234"/>
      <c r="M1315" s="202"/>
      <c r="N1315" s="250"/>
      <c r="O1315" s="203"/>
      <c r="P1315" s="248"/>
      <c r="Q1315" s="201"/>
      <c r="R1315" s="255"/>
      <c r="S1315" s="226"/>
      <c r="T1315" s="235"/>
      <c r="U1315" s="170"/>
    </row>
    <row r="1316" spans="1:21" ht="15.75" hidden="1" outlineLevel="3">
      <c r="A1316" s="162"/>
      <c r="B1316" s="152"/>
      <c r="C1316" s="151" t="s">
        <v>504</v>
      </c>
      <c r="D1316" s="339"/>
      <c r="E1316" s="164"/>
      <c r="F1316" s="165"/>
      <c r="G1316" s="172"/>
      <c r="H1316" s="164"/>
      <c r="I1316" s="164"/>
      <c r="J1316" s="164"/>
      <c r="K1316" s="223"/>
      <c r="L1316" s="234"/>
      <c r="M1316" s="202"/>
      <c r="N1316" s="250"/>
      <c r="O1316" s="203"/>
      <c r="P1316" s="248"/>
      <c r="Q1316" s="201"/>
      <c r="R1316" s="255"/>
      <c r="S1316" s="226"/>
      <c r="T1316" s="235"/>
      <c r="U1316" s="170"/>
    </row>
    <row r="1317" spans="1:21" ht="15.75" hidden="1" outlineLevel="3">
      <c r="A1317" s="162"/>
      <c r="B1317" s="152"/>
      <c r="C1317" s="236" t="s">
        <v>483</v>
      </c>
      <c r="D1317" s="344"/>
      <c r="E1317" s="164"/>
      <c r="F1317" s="165"/>
      <c r="G1317" s="172"/>
      <c r="H1317" s="164"/>
      <c r="I1317" s="164"/>
      <c r="J1317" s="164"/>
      <c r="K1317" s="223"/>
      <c r="L1317" s="234"/>
      <c r="M1317" s="202">
        <v>100000</v>
      </c>
      <c r="N1317" s="250">
        <f>M1317*1.23</f>
        <v>123000</v>
      </c>
      <c r="O1317" s="203"/>
      <c r="P1317" s="248"/>
      <c r="Q1317" s="201"/>
      <c r="R1317" s="255"/>
      <c r="S1317" s="159">
        <f t="shared" ref="S1317" si="84">SUM(L1317,N1317,P1317,R1317)</f>
        <v>123000</v>
      </c>
      <c r="T1317" s="235"/>
      <c r="U1317" s="170"/>
    </row>
    <row r="1318" spans="1:21" ht="15.75" hidden="1" outlineLevel="3">
      <c r="A1318" s="162"/>
      <c r="B1318" s="152"/>
      <c r="C1318" s="236" t="s">
        <v>484</v>
      </c>
      <c r="D1318" s="344"/>
      <c r="E1318" s="164"/>
      <c r="F1318" s="165"/>
      <c r="G1318" s="172"/>
      <c r="H1318" s="164"/>
      <c r="I1318" s="164"/>
      <c r="J1318" s="164"/>
      <c r="K1318" s="223"/>
      <c r="L1318" s="234"/>
      <c r="M1318" s="202"/>
      <c r="N1318" s="250"/>
      <c r="O1318" s="203"/>
      <c r="P1318" s="248"/>
      <c r="Q1318" s="201"/>
      <c r="R1318" s="255"/>
      <c r="S1318" s="226"/>
      <c r="T1318" s="235"/>
      <c r="U1318" s="170"/>
    </row>
    <row r="1319" spans="1:21" ht="15.75" hidden="1" outlineLevel="3">
      <c r="A1319" s="162"/>
      <c r="B1319" s="152"/>
      <c r="C1319" s="236" t="s">
        <v>479</v>
      </c>
      <c r="D1319" s="344"/>
      <c r="E1319" s="164"/>
      <c r="F1319" s="165"/>
      <c r="G1319" s="172"/>
      <c r="H1319" s="164"/>
      <c r="I1319" s="164"/>
      <c r="J1319" s="164"/>
      <c r="K1319" s="223"/>
      <c r="L1319" s="234"/>
      <c r="M1319" s="202"/>
      <c r="N1319" s="250"/>
      <c r="O1319" s="203"/>
      <c r="P1319" s="248"/>
      <c r="Q1319" s="201"/>
      <c r="R1319" s="255"/>
      <c r="S1319" s="226"/>
      <c r="T1319" s="235"/>
      <c r="U1319" s="170"/>
    </row>
    <row r="1320" spans="1:21" ht="15.75" hidden="1" outlineLevel="3">
      <c r="A1320" s="162"/>
      <c r="B1320" s="152"/>
      <c r="C1320" s="236" t="s">
        <v>485</v>
      </c>
      <c r="D1320" s="344"/>
      <c r="E1320" s="164"/>
      <c r="F1320" s="165"/>
      <c r="G1320" s="172"/>
      <c r="H1320" s="164"/>
      <c r="I1320" s="164"/>
      <c r="J1320" s="164"/>
      <c r="K1320" s="223"/>
      <c r="L1320" s="234"/>
      <c r="M1320" s="202"/>
      <c r="N1320" s="250"/>
      <c r="O1320" s="203"/>
      <c r="P1320" s="248"/>
      <c r="Q1320" s="201"/>
      <c r="R1320" s="255"/>
      <c r="S1320" s="226"/>
      <c r="T1320" s="235"/>
      <c r="U1320" s="170"/>
    </row>
    <row r="1321" spans="1:21" ht="15.75" hidden="1" outlineLevel="3">
      <c r="A1321" s="162"/>
      <c r="B1321" s="152"/>
      <c r="C1321" s="151" t="s">
        <v>505</v>
      </c>
      <c r="D1321" s="339"/>
      <c r="E1321" s="164"/>
      <c r="F1321" s="165"/>
      <c r="G1321" s="172"/>
      <c r="H1321" s="164"/>
      <c r="I1321" s="164"/>
      <c r="J1321" s="164"/>
      <c r="K1321" s="223"/>
      <c r="L1321" s="234"/>
      <c r="M1321" s="202"/>
      <c r="N1321" s="250"/>
      <c r="O1321" s="203"/>
      <c r="P1321" s="248"/>
      <c r="Q1321" s="201"/>
      <c r="R1321" s="255"/>
      <c r="S1321" s="226"/>
      <c r="T1321" s="235"/>
      <c r="U1321" s="170"/>
    </row>
    <row r="1322" spans="1:21" ht="15.75" hidden="1" outlineLevel="3">
      <c r="A1322" s="162"/>
      <c r="B1322" s="152"/>
      <c r="C1322" s="236" t="s">
        <v>487</v>
      </c>
      <c r="D1322" s="344"/>
      <c r="E1322" s="164"/>
      <c r="F1322" s="165"/>
      <c r="G1322" s="172"/>
      <c r="H1322" s="164"/>
      <c r="I1322" s="164"/>
      <c r="J1322" s="164"/>
      <c r="K1322" s="223"/>
      <c r="L1322" s="234"/>
      <c r="M1322" s="202"/>
      <c r="N1322" s="250"/>
      <c r="O1322" s="203"/>
      <c r="P1322" s="248"/>
      <c r="Q1322" s="201"/>
      <c r="R1322" s="255"/>
      <c r="S1322" s="226"/>
      <c r="T1322" s="235"/>
      <c r="U1322" s="170"/>
    </row>
    <row r="1323" spans="1:21" ht="15.75" hidden="1" outlineLevel="3">
      <c r="A1323" s="162"/>
      <c r="B1323" s="152"/>
      <c r="C1323" s="236" t="s">
        <v>479</v>
      </c>
      <c r="D1323" s="344"/>
      <c r="E1323" s="164"/>
      <c r="F1323" s="165"/>
      <c r="G1323" s="172"/>
      <c r="H1323" s="164"/>
      <c r="I1323" s="164"/>
      <c r="J1323" s="164"/>
      <c r="K1323" s="223"/>
      <c r="L1323" s="234"/>
      <c r="M1323" s="202"/>
      <c r="N1323" s="250"/>
      <c r="O1323" s="203"/>
      <c r="P1323" s="248"/>
      <c r="Q1323" s="201"/>
      <c r="R1323" s="255"/>
      <c r="S1323" s="226"/>
      <c r="T1323" s="235"/>
      <c r="U1323" s="170"/>
    </row>
    <row r="1324" spans="1:21" ht="15.75" hidden="1" outlineLevel="3">
      <c r="A1324" s="162"/>
      <c r="B1324" s="152"/>
      <c r="C1324" s="236" t="s">
        <v>488</v>
      </c>
      <c r="D1324" s="344"/>
      <c r="E1324" s="164"/>
      <c r="F1324" s="165"/>
      <c r="G1324" s="172"/>
      <c r="H1324" s="164"/>
      <c r="I1324" s="164"/>
      <c r="J1324" s="164"/>
      <c r="K1324" s="223"/>
      <c r="L1324" s="234"/>
      <c r="M1324" s="202"/>
      <c r="N1324" s="250"/>
      <c r="O1324" s="203"/>
      <c r="P1324" s="248"/>
      <c r="Q1324" s="201"/>
      <c r="R1324" s="255"/>
      <c r="S1324" s="226"/>
      <c r="T1324" s="235"/>
      <c r="U1324" s="170"/>
    </row>
    <row r="1325" spans="1:21" ht="15.75" hidden="1" outlineLevel="3">
      <c r="A1325" s="162"/>
      <c r="B1325" s="152"/>
      <c r="C1325" s="236" t="s">
        <v>489</v>
      </c>
      <c r="D1325" s="344"/>
      <c r="E1325" s="164"/>
      <c r="F1325" s="165"/>
      <c r="G1325" s="172"/>
      <c r="H1325" s="164"/>
      <c r="I1325" s="164"/>
      <c r="J1325" s="164"/>
      <c r="K1325" s="223"/>
      <c r="L1325" s="234"/>
      <c r="M1325" s="202" t="s">
        <v>514</v>
      </c>
      <c r="N1325" s="250"/>
      <c r="O1325" s="203"/>
      <c r="P1325" s="248"/>
      <c r="Q1325" s="201"/>
      <c r="R1325" s="255"/>
      <c r="S1325" s="226"/>
      <c r="T1325" s="235"/>
      <c r="U1325" s="170"/>
    </row>
    <row r="1326" spans="1:21" ht="15.75" hidden="1" outlineLevel="3">
      <c r="A1326" s="162"/>
      <c r="B1326" s="152"/>
      <c r="C1326" s="151" t="s">
        <v>506</v>
      </c>
      <c r="D1326" s="339"/>
      <c r="E1326" s="164"/>
      <c r="F1326" s="165"/>
      <c r="G1326" s="172"/>
      <c r="H1326" s="164"/>
      <c r="I1326" s="164"/>
      <c r="J1326" s="164"/>
      <c r="K1326" s="223"/>
      <c r="L1326" s="234"/>
      <c r="M1326" s="202"/>
      <c r="N1326" s="250"/>
      <c r="O1326" s="203"/>
      <c r="P1326" s="248"/>
      <c r="Q1326" s="201"/>
      <c r="R1326" s="255"/>
      <c r="S1326" s="226"/>
      <c r="T1326" s="235"/>
      <c r="U1326" s="170"/>
    </row>
    <row r="1327" spans="1:21" ht="15.75" hidden="1" outlineLevel="3">
      <c r="A1327" s="162"/>
      <c r="B1327" s="152"/>
      <c r="C1327" s="236" t="s">
        <v>491</v>
      </c>
      <c r="D1327" s="344"/>
      <c r="E1327" s="164"/>
      <c r="F1327" s="165"/>
      <c r="G1327" s="254">
        <v>290000</v>
      </c>
      <c r="H1327" s="164"/>
      <c r="I1327" s="164"/>
      <c r="J1327" s="164"/>
      <c r="K1327" s="223"/>
      <c r="L1327" s="234">
        <f>SUM(G1327:K1327)</f>
        <v>290000</v>
      </c>
      <c r="M1327" s="202"/>
      <c r="N1327" s="250"/>
      <c r="O1327" s="203"/>
      <c r="P1327" s="248"/>
      <c r="Q1327" s="201"/>
      <c r="R1327" s="255"/>
      <c r="S1327" s="159">
        <f t="shared" ref="S1327:S1336" si="85">SUM(L1327,N1327,P1327,R1327)</f>
        <v>290000</v>
      </c>
      <c r="T1327" s="235"/>
      <c r="U1327" s="170"/>
    </row>
    <row r="1328" spans="1:21" ht="15.75" hidden="1" outlineLevel="3">
      <c r="A1328" s="162"/>
      <c r="B1328" s="152"/>
      <c r="C1328" s="236" t="s">
        <v>492</v>
      </c>
      <c r="D1328" s="344"/>
      <c r="E1328" s="164"/>
      <c r="F1328" s="165"/>
      <c r="G1328" s="254"/>
      <c r="H1328" s="164"/>
      <c r="I1328" s="164"/>
      <c r="J1328" s="164"/>
      <c r="K1328" s="223"/>
      <c r="L1328" s="234"/>
      <c r="M1328" s="202">
        <v>80000</v>
      </c>
      <c r="N1328" s="250">
        <f>M1328*1.23</f>
        <v>98400</v>
      </c>
      <c r="O1328" s="203"/>
      <c r="P1328" s="248"/>
      <c r="Q1328" s="201"/>
      <c r="R1328" s="255"/>
      <c r="S1328" s="159">
        <f t="shared" si="85"/>
        <v>98400</v>
      </c>
      <c r="T1328" s="235"/>
      <c r="U1328" s="170"/>
    </row>
    <row r="1329" spans="1:21" ht="15.75" hidden="1" outlineLevel="3">
      <c r="A1329" s="162"/>
      <c r="B1329" s="152"/>
      <c r="C1329" s="236" t="s">
        <v>493</v>
      </c>
      <c r="D1329" s="344"/>
      <c r="E1329" s="164"/>
      <c r="F1329" s="165"/>
      <c r="G1329" s="254">
        <v>320000</v>
      </c>
      <c r="H1329" s="164"/>
      <c r="I1329" s="164"/>
      <c r="J1329" s="164"/>
      <c r="K1329" s="223"/>
      <c r="L1329" s="234">
        <f>SUM(G1329:K1329)</f>
        <v>320000</v>
      </c>
      <c r="M1329" s="202"/>
      <c r="N1329" s="250"/>
      <c r="O1329" s="203"/>
      <c r="P1329" s="248"/>
      <c r="Q1329" s="201"/>
      <c r="R1329" s="255"/>
      <c r="S1329" s="159">
        <f t="shared" si="85"/>
        <v>320000</v>
      </c>
      <c r="T1329" s="235"/>
      <c r="U1329" s="170"/>
    </row>
    <row r="1330" spans="1:21" ht="15.75" hidden="1" outlineLevel="3">
      <c r="A1330" s="162"/>
      <c r="B1330" s="152"/>
      <c r="C1330" s="236" t="s">
        <v>494</v>
      </c>
      <c r="D1330" s="344"/>
      <c r="E1330" s="164"/>
      <c r="F1330" s="165"/>
      <c r="G1330" s="172"/>
      <c r="H1330" s="164"/>
      <c r="I1330" s="164"/>
      <c r="J1330" s="164"/>
      <c r="K1330" s="223"/>
      <c r="L1330" s="234"/>
      <c r="M1330" s="202"/>
      <c r="N1330" s="250"/>
      <c r="O1330" s="203"/>
      <c r="P1330" s="248"/>
      <c r="Q1330" s="201"/>
      <c r="R1330" s="255"/>
      <c r="S1330" s="159"/>
      <c r="T1330" s="235"/>
      <c r="U1330" s="161"/>
    </row>
    <row r="1331" spans="1:21" ht="15.75" hidden="1" outlineLevel="3">
      <c r="A1331" s="162"/>
      <c r="B1331" s="152"/>
      <c r="C1331" s="151" t="s">
        <v>507</v>
      </c>
      <c r="D1331" s="339"/>
      <c r="E1331" s="164"/>
      <c r="F1331" s="165"/>
      <c r="G1331" s="172"/>
      <c r="H1331" s="164"/>
      <c r="I1331" s="164"/>
      <c r="J1331" s="164"/>
      <c r="K1331" s="223"/>
      <c r="L1331" s="234"/>
      <c r="M1331" s="202"/>
      <c r="N1331" s="250"/>
      <c r="O1331" s="203"/>
      <c r="P1331" s="248"/>
      <c r="Q1331" s="201"/>
      <c r="R1331" s="255"/>
      <c r="S1331" s="159"/>
      <c r="T1331" s="235"/>
      <c r="U1331" s="170"/>
    </row>
    <row r="1332" spans="1:21" ht="15.75" hidden="1" outlineLevel="3">
      <c r="A1332" s="162"/>
      <c r="B1332" s="152"/>
      <c r="C1332" s="174" t="s">
        <v>496</v>
      </c>
      <c r="D1332" s="340"/>
      <c r="E1332" s="164"/>
      <c r="F1332" s="165"/>
      <c r="G1332" s="172"/>
      <c r="H1332" s="164"/>
      <c r="I1332" s="164"/>
      <c r="J1332" s="164"/>
      <c r="K1332" s="223"/>
      <c r="L1332" s="234"/>
      <c r="M1332" s="202"/>
      <c r="N1332" s="250"/>
      <c r="O1332" s="203"/>
      <c r="P1332" s="248"/>
      <c r="Q1332" s="201"/>
      <c r="R1332" s="255"/>
      <c r="S1332" s="159"/>
      <c r="T1332" s="235"/>
      <c r="U1332" s="170"/>
    </row>
    <row r="1333" spans="1:21" ht="15.75" hidden="1" outlineLevel="3">
      <c r="A1333" s="162"/>
      <c r="B1333" s="152"/>
      <c r="C1333" s="174" t="s">
        <v>497</v>
      </c>
      <c r="D1333" s="340"/>
      <c r="E1333" s="164"/>
      <c r="F1333" s="165"/>
      <c r="G1333" s="172"/>
      <c r="H1333" s="164"/>
      <c r="I1333" s="164"/>
      <c r="J1333" s="164"/>
      <c r="K1333" s="223"/>
      <c r="L1333" s="234"/>
      <c r="M1333" s="202"/>
      <c r="N1333" s="250"/>
      <c r="O1333" s="203"/>
      <c r="P1333" s="248"/>
      <c r="Q1333" s="201"/>
      <c r="R1333" s="255"/>
      <c r="S1333" s="159"/>
      <c r="T1333" s="235"/>
      <c r="U1333" s="170"/>
    </row>
    <row r="1334" spans="1:21" ht="15.75" hidden="1" outlineLevel="3">
      <c r="A1334" s="162"/>
      <c r="B1334" s="152"/>
      <c r="C1334" s="174" t="s">
        <v>499</v>
      </c>
      <c r="D1334" s="340"/>
      <c r="E1334" s="164"/>
      <c r="F1334" s="165"/>
      <c r="G1334" s="172"/>
      <c r="H1334" s="164"/>
      <c r="I1334" s="164"/>
      <c r="J1334" s="164"/>
      <c r="K1334" s="223"/>
      <c r="L1334" s="234"/>
      <c r="M1334" s="202"/>
      <c r="N1334" s="250"/>
      <c r="O1334" s="203"/>
      <c r="P1334" s="248"/>
      <c r="Q1334" s="201"/>
      <c r="R1334" s="255"/>
      <c r="S1334" s="159"/>
      <c r="T1334" s="235"/>
      <c r="U1334" s="170"/>
    </row>
    <row r="1335" spans="1:21" ht="15.75" hidden="1" outlineLevel="3">
      <c r="A1335" s="162"/>
      <c r="B1335" s="152"/>
      <c r="C1335" s="174" t="s">
        <v>526</v>
      </c>
      <c r="D1335" s="340"/>
      <c r="E1335" s="164"/>
      <c r="F1335" s="165"/>
      <c r="G1335" s="172"/>
      <c r="H1335" s="164"/>
      <c r="I1335" s="164"/>
      <c r="J1335" s="164"/>
      <c r="K1335" s="223"/>
      <c r="L1335" s="234"/>
      <c r="M1335" s="202">
        <v>194000</v>
      </c>
      <c r="N1335" s="250">
        <f>M1335*1.23</f>
        <v>238620</v>
      </c>
      <c r="O1335" s="203"/>
      <c r="P1335" s="248"/>
      <c r="Q1335" s="201"/>
      <c r="R1335" s="255"/>
      <c r="S1335" s="159">
        <f t="shared" si="85"/>
        <v>238620</v>
      </c>
      <c r="T1335" s="235"/>
      <c r="U1335" s="161"/>
    </row>
    <row r="1336" spans="1:21" ht="15.75" hidden="1" outlineLevel="2" collapsed="1">
      <c r="A1336" s="162"/>
      <c r="B1336" s="152"/>
      <c r="C1336" s="151" t="s">
        <v>660</v>
      </c>
      <c r="D1336" s="339"/>
      <c r="E1336" s="164"/>
      <c r="F1336" s="165"/>
      <c r="G1336" s="249">
        <f>CIP!$AR$14</f>
        <v>500000</v>
      </c>
      <c r="H1336" s="244"/>
      <c r="I1336" s="244"/>
      <c r="J1336" s="244">
        <f>SUM(J1311:J1335)</f>
        <v>0</v>
      </c>
      <c r="K1336" s="255"/>
      <c r="L1336" s="226">
        <f>SUM(L1311:L1335)</f>
        <v>610000</v>
      </c>
      <c r="M1336" s="202">
        <f>SUM(M1311:M1335)</f>
        <v>374000</v>
      </c>
      <c r="N1336" s="244">
        <f>M1336*1.23</f>
        <v>460020</v>
      </c>
      <c r="O1336" s="203"/>
      <c r="P1336" s="244"/>
      <c r="Q1336" s="201"/>
      <c r="R1336" s="255"/>
      <c r="S1336" s="159">
        <f t="shared" si="85"/>
        <v>1070020</v>
      </c>
      <c r="T1336" s="235"/>
      <c r="U1336" s="161"/>
    </row>
    <row r="1337" spans="1:21" s="233" customFormat="1" hidden="1" outlineLevel="3">
      <c r="A1337" s="232"/>
      <c r="B1337" s="151" t="s">
        <v>661</v>
      </c>
      <c r="C1337" s="171"/>
      <c r="D1337" s="343"/>
      <c r="E1337" s="157"/>
      <c r="F1337" s="158"/>
      <c r="G1337" s="197"/>
      <c r="H1337" s="157"/>
      <c r="I1337" s="157"/>
      <c r="J1337" s="157"/>
      <c r="K1337" s="215"/>
      <c r="L1337" s="155"/>
      <c r="M1337" s="156"/>
      <c r="N1337" s="250"/>
      <c r="O1337" s="157"/>
      <c r="P1337" s="248"/>
      <c r="Q1337" s="158"/>
      <c r="R1337" s="255"/>
      <c r="S1337" s="159"/>
      <c r="T1337" s="225"/>
      <c r="U1337" s="170"/>
    </row>
    <row r="1338" spans="1:21" ht="15.75" hidden="1" outlineLevel="3">
      <c r="A1338" s="162"/>
      <c r="B1338" s="152"/>
      <c r="C1338" s="151" t="s">
        <v>503</v>
      </c>
      <c r="D1338" s="339"/>
      <c r="E1338" s="164"/>
      <c r="F1338" s="165"/>
      <c r="G1338" s="172"/>
      <c r="H1338" s="164"/>
      <c r="I1338" s="164"/>
      <c r="J1338" s="164"/>
      <c r="K1338" s="223"/>
      <c r="L1338" s="234"/>
      <c r="M1338" s="202"/>
      <c r="N1338" s="250"/>
      <c r="O1338" s="203"/>
      <c r="P1338" s="248"/>
      <c r="Q1338" s="201"/>
      <c r="R1338" s="255"/>
      <c r="S1338" s="226"/>
      <c r="T1338" s="235"/>
      <c r="U1338" s="170"/>
    </row>
    <row r="1339" spans="1:21" ht="15.75" hidden="1" outlineLevel="3">
      <c r="A1339" s="162"/>
      <c r="B1339" s="152"/>
      <c r="C1339" s="236" t="s">
        <v>520</v>
      </c>
      <c r="D1339" s="344"/>
      <c r="E1339" s="164"/>
      <c r="F1339" s="165"/>
      <c r="G1339" s="172"/>
      <c r="H1339" s="164"/>
      <c r="I1339" s="164"/>
      <c r="J1339" s="164"/>
      <c r="K1339" s="223"/>
      <c r="L1339" s="234"/>
      <c r="M1339" s="202"/>
      <c r="N1339" s="250"/>
      <c r="O1339" s="203"/>
      <c r="P1339" s="248"/>
      <c r="Q1339" s="201"/>
      <c r="R1339" s="255"/>
      <c r="S1339" s="226"/>
      <c r="T1339" s="235"/>
      <c r="U1339" s="170"/>
    </row>
    <row r="1340" spans="1:21" ht="15.75" hidden="1" outlineLevel="3">
      <c r="A1340" s="162"/>
      <c r="B1340" s="152"/>
      <c r="C1340" s="236" t="s">
        <v>478</v>
      </c>
      <c r="D1340" s="344"/>
      <c r="E1340" s="164"/>
      <c r="F1340" s="165"/>
      <c r="G1340" s="172"/>
      <c r="H1340" s="164"/>
      <c r="I1340" s="164"/>
      <c r="J1340" s="164"/>
      <c r="K1340" s="223"/>
      <c r="L1340" s="234"/>
      <c r="M1340" s="202"/>
      <c r="N1340" s="250"/>
      <c r="O1340" s="203"/>
      <c r="P1340" s="248"/>
      <c r="Q1340" s="201"/>
      <c r="R1340" s="255"/>
      <c r="S1340" s="226"/>
      <c r="T1340" s="235"/>
      <c r="U1340" s="170"/>
    </row>
    <row r="1341" spans="1:21" ht="15.75" hidden="1" outlineLevel="3">
      <c r="A1341" s="162"/>
      <c r="B1341" s="152"/>
      <c r="C1341" s="236" t="s">
        <v>479</v>
      </c>
      <c r="D1341" s="344"/>
      <c r="E1341" s="164"/>
      <c r="F1341" s="165"/>
      <c r="G1341" s="172"/>
      <c r="H1341" s="164"/>
      <c r="I1341" s="164"/>
      <c r="J1341" s="164"/>
      <c r="K1341" s="223"/>
      <c r="L1341" s="220"/>
      <c r="M1341" s="204"/>
      <c r="N1341" s="250"/>
      <c r="O1341" s="203"/>
      <c r="P1341" s="248"/>
      <c r="Q1341" s="201"/>
      <c r="R1341" s="255"/>
      <c r="S1341" s="226"/>
      <c r="T1341" s="235"/>
      <c r="U1341" s="170"/>
    </row>
    <row r="1342" spans="1:21" ht="15.75" hidden="1" outlineLevel="3">
      <c r="A1342" s="162"/>
      <c r="B1342" s="152"/>
      <c r="C1342" s="236" t="s">
        <v>480</v>
      </c>
      <c r="D1342" s="344"/>
      <c r="E1342" s="164"/>
      <c r="F1342" s="165"/>
      <c r="G1342" s="172"/>
      <c r="H1342" s="164"/>
      <c r="I1342" s="164"/>
      <c r="J1342" s="164"/>
      <c r="K1342" s="223"/>
      <c r="L1342" s="234"/>
      <c r="M1342" s="202"/>
      <c r="N1342" s="250"/>
      <c r="O1342" s="203"/>
      <c r="P1342" s="248"/>
      <c r="Q1342" s="201"/>
      <c r="R1342" s="255"/>
      <c r="S1342" s="226"/>
      <c r="T1342" s="235"/>
      <c r="U1342" s="170"/>
    </row>
    <row r="1343" spans="1:21" ht="15.75" hidden="1" outlineLevel="3">
      <c r="A1343" s="162"/>
      <c r="B1343" s="152"/>
      <c r="C1343" s="236" t="s">
        <v>512</v>
      </c>
      <c r="D1343" s="344"/>
      <c r="E1343" s="164"/>
      <c r="F1343" s="165"/>
      <c r="G1343" s="172"/>
      <c r="H1343" s="164"/>
      <c r="I1343" s="164"/>
      <c r="J1343" s="164"/>
      <c r="K1343" s="223"/>
      <c r="L1343" s="234"/>
      <c r="M1343" s="202"/>
      <c r="N1343" s="250"/>
      <c r="O1343" s="203"/>
      <c r="P1343" s="248"/>
      <c r="Q1343" s="201"/>
      <c r="R1343" s="255"/>
      <c r="S1343" s="226"/>
      <c r="T1343" s="235"/>
      <c r="U1343" s="170"/>
    </row>
    <row r="1344" spans="1:21" ht="15.75" hidden="1" outlineLevel="3">
      <c r="A1344" s="162"/>
      <c r="B1344" s="152"/>
      <c r="C1344" s="151" t="s">
        <v>504</v>
      </c>
      <c r="D1344" s="339"/>
      <c r="E1344" s="164"/>
      <c r="F1344" s="165"/>
      <c r="G1344" s="172"/>
      <c r="H1344" s="164"/>
      <c r="I1344" s="164"/>
      <c r="J1344" s="164"/>
      <c r="K1344" s="223"/>
      <c r="L1344" s="234"/>
      <c r="M1344" s="202"/>
      <c r="N1344" s="250"/>
      <c r="O1344" s="203"/>
      <c r="P1344" s="248"/>
      <c r="Q1344" s="201"/>
      <c r="R1344" s="255"/>
      <c r="S1344" s="226"/>
      <c r="T1344" s="235"/>
      <c r="U1344" s="170"/>
    </row>
    <row r="1345" spans="1:21" ht="15.75" hidden="1" outlineLevel="3">
      <c r="A1345" s="162"/>
      <c r="B1345" s="152"/>
      <c r="C1345" s="236" t="s">
        <v>483</v>
      </c>
      <c r="D1345" s="344"/>
      <c r="E1345" s="164"/>
      <c r="F1345" s="165"/>
      <c r="G1345" s="172"/>
      <c r="H1345" s="164"/>
      <c r="I1345" s="164"/>
      <c r="J1345" s="164"/>
      <c r="K1345" s="223"/>
      <c r="L1345" s="234"/>
      <c r="M1345" s="202"/>
      <c r="N1345" s="250"/>
      <c r="O1345" s="203"/>
      <c r="P1345" s="248"/>
      <c r="Q1345" s="201"/>
      <c r="R1345" s="255"/>
      <c r="S1345" s="226"/>
      <c r="T1345" s="235"/>
      <c r="U1345" s="170"/>
    </row>
    <row r="1346" spans="1:21" ht="15.75" hidden="1" outlineLevel="3">
      <c r="A1346" s="162"/>
      <c r="B1346" s="152"/>
      <c r="C1346" s="236" t="s">
        <v>484</v>
      </c>
      <c r="D1346" s="344"/>
      <c r="E1346" s="164"/>
      <c r="F1346" s="165"/>
      <c r="G1346" s="172"/>
      <c r="H1346" s="164"/>
      <c r="I1346" s="164"/>
      <c r="J1346" s="164"/>
      <c r="K1346" s="223"/>
      <c r="L1346" s="234"/>
      <c r="M1346" s="202"/>
      <c r="N1346" s="250"/>
      <c r="O1346" s="203"/>
      <c r="P1346" s="248"/>
      <c r="Q1346" s="201"/>
      <c r="R1346" s="255"/>
      <c r="S1346" s="226"/>
      <c r="T1346" s="235"/>
      <c r="U1346" s="170"/>
    </row>
    <row r="1347" spans="1:21" ht="15.75" hidden="1" outlineLevel="3">
      <c r="A1347" s="162"/>
      <c r="B1347" s="152"/>
      <c r="C1347" s="236" t="s">
        <v>479</v>
      </c>
      <c r="D1347" s="344"/>
      <c r="E1347" s="164"/>
      <c r="F1347" s="165"/>
      <c r="G1347" s="172"/>
      <c r="H1347" s="164"/>
      <c r="I1347" s="164"/>
      <c r="J1347" s="164"/>
      <c r="K1347" s="223"/>
      <c r="L1347" s="234"/>
      <c r="M1347" s="202"/>
      <c r="N1347" s="250"/>
      <c r="O1347" s="203"/>
      <c r="P1347" s="248"/>
      <c r="Q1347" s="201"/>
      <c r="R1347" s="255"/>
      <c r="S1347" s="226"/>
      <c r="T1347" s="235"/>
      <c r="U1347" s="170"/>
    </row>
    <row r="1348" spans="1:21" ht="15.75" hidden="1" outlineLevel="3">
      <c r="A1348" s="162"/>
      <c r="B1348" s="152"/>
      <c r="C1348" s="236" t="s">
        <v>485</v>
      </c>
      <c r="D1348" s="344"/>
      <c r="E1348" s="164"/>
      <c r="F1348" s="165"/>
      <c r="G1348" s="172"/>
      <c r="H1348" s="164"/>
      <c r="I1348" s="164"/>
      <c r="J1348" s="164"/>
      <c r="K1348" s="223"/>
      <c r="L1348" s="234"/>
      <c r="M1348" s="202"/>
      <c r="N1348" s="250"/>
      <c r="O1348" s="203"/>
      <c r="P1348" s="248"/>
      <c r="Q1348" s="201"/>
      <c r="R1348" s="255"/>
      <c r="S1348" s="226"/>
      <c r="T1348" s="235"/>
      <c r="U1348" s="170"/>
    </row>
    <row r="1349" spans="1:21" ht="15.75" hidden="1" outlineLevel="3">
      <c r="A1349" s="162"/>
      <c r="B1349" s="152"/>
      <c r="C1349" s="151" t="s">
        <v>505</v>
      </c>
      <c r="D1349" s="339"/>
      <c r="E1349" s="164"/>
      <c r="F1349" s="165"/>
      <c r="G1349" s="172"/>
      <c r="H1349" s="164"/>
      <c r="I1349" s="164"/>
      <c r="J1349" s="164"/>
      <c r="K1349" s="223"/>
      <c r="L1349" s="234"/>
      <c r="M1349" s="202"/>
      <c r="N1349" s="250"/>
      <c r="O1349" s="203"/>
      <c r="P1349" s="248"/>
      <c r="Q1349" s="201"/>
      <c r="R1349" s="255"/>
      <c r="S1349" s="226"/>
      <c r="T1349" s="235"/>
      <c r="U1349" s="170"/>
    </row>
    <row r="1350" spans="1:21" ht="15.75" hidden="1" outlineLevel="3">
      <c r="A1350" s="162"/>
      <c r="B1350" s="152"/>
      <c r="C1350" s="236" t="s">
        <v>487</v>
      </c>
      <c r="D1350" s="344"/>
      <c r="E1350" s="164"/>
      <c r="F1350" s="165"/>
      <c r="G1350" s="172"/>
      <c r="H1350" s="164"/>
      <c r="I1350" s="164"/>
      <c r="J1350" s="164"/>
      <c r="K1350" s="223"/>
      <c r="L1350" s="234"/>
      <c r="M1350" s="202"/>
      <c r="N1350" s="250"/>
      <c r="O1350" s="203"/>
      <c r="P1350" s="248"/>
      <c r="Q1350" s="201"/>
      <c r="R1350" s="255"/>
      <c r="S1350" s="226"/>
      <c r="T1350" s="235"/>
      <c r="U1350" s="170"/>
    </row>
    <row r="1351" spans="1:21" ht="15.75" hidden="1" outlineLevel="3">
      <c r="A1351" s="162"/>
      <c r="B1351" s="152"/>
      <c r="C1351" s="236" t="s">
        <v>479</v>
      </c>
      <c r="D1351" s="344"/>
      <c r="E1351" s="164"/>
      <c r="F1351" s="165"/>
      <c r="G1351" s="172"/>
      <c r="H1351" s="164"/>
      <c r="I1351" s="164"/>
      <c r="J1351" s="164"/>
      <c r="K1351" s="223"/>
      <c r="L1351" s="234"/>
      <c r="M1351" s="202"/>
      <c r="N1351" s="250"/>
      <c r="O1351" s="203"/>
      <c r="P1351" s="248"/>
      <c r="Q1351" s="201"/>
      <c r="R1351" s="255"/>
      <c r="S1351" s="226"/>
      <c r="T1351" s="235"/>
      <c r="U1351" s="170"/>
    </row>
    <row r="1352" spans="1:21" ht="15.75" hidden="1" outlineLevel="3">
      <c r="A1352" s="162"/>
      <c r="B1352" s="152"/>
      <c r="C1352" s="236" t="s">
        <v>488</v>
      </c>
      <c r="D1352" s="344"/>
      <c r="E1352" s="164"/>
      <c r="F1352" s="165"/>
      <c r="G1352" s="172"/>
      <c r="H1352" s="164"/>
      <c r="I1352" s="164"/>
      <c r="J1352" s="164"/>
      <c r="K1352" s="223"/>
      <c r="L1352" s="234"/>
      <c r="M1352" s="202"/>
      <c r="N1352" s="250"/>
      <c r="O1352" s="203"/>
      <c r="P1352" s="248"/>
      <c r="Q1352" s="201"/>
      <c r="R1352" s="255"/>
      <c r="S1352" s="226"/>
      <c r="T1352" s="235"/>
      <c r="U1352" s="170"/>
    </row>
    <row r="1353" spans="1:21" ht="15.75" hidden="1" outlineLevel="3">
      <c r="A1353" s="162"/>
      <c r="B1353" s="152"/>
      <c r="C1353" s="236" t="s">
        <v>489</v>
      </c>
      <c r="D1353" s="344"/>
      <c r="E1353" s="164"/>
      <c r="F1353" s="165"/>
      <c r="G1353" s="172"/>
      <c r="H1353" s="164"/>
      <c r="I1353" s="164"/>
      <c r="J1353" s="164"/>
      <c r="K1353" s="223"/>
      <c r="L1353" s="234"/>
      <c r="M1353" s="202"/>
      <c r="N1353" s="250"/>
      <c r="O1353" s="203"/>
      <c r="P1353" s="248"/>
      <c r="Q1353" s="201"/>
      <c r="R1353" s="255"/>
      <c r="S1353" s="226"/>
      <c r="T1353" s="235"/>
      <c r="U1353" s="170"/>
    </row>
    <row r="1354" spans="1:21" ht="15.75" hidden="1" outlineLevel="3">
      <c r="A1354" s="162"/>
      <c r="B1354" s="152"/>
      <c r="C1354" s="151" t="s">
        <v>506</v>
      </c>
      <c r="D1354" s="339"/>
      <c r="E1354" s="164"/>
      <c r="F1354" s="165"/>
      <c r="G1354" s="172"/>
      <c r="H1354" s="164"/>
      <c r="I1354" s="164"/>
      <c r="J1354" s="164"/>
      <c r="K1354" s="223"/>
      <c r="L1354" s="234"/>
      <c r="M1354" s="202"/>
      <c r="N1354" s="250"/>
      <c r="O1354" s="203"/>
      <c r="P1354" s="248"/>
      <c r="Q1354" s="201"/>
      <c r="R1354" s="255"/>
      <c r="S1354" s="226"/>
      <c r="T1354" s="235"/>
      <c r="U1354" s="170"/>
    </row>
    <row r="1355" spans="1:21" ht="15.75" hidden="1" outlineLevel="3">
      <c r="A1355" s="162"/>
      <c r="B1355" s="152"/>
      <c r="C1355" s="236" t="s">
        <v>491</v>
      </c>
      <c r="D1355" s="344"/>
      <c r="E1355" s="164"/>
      <c r="F1355" s="165"/>
      <c r="G1355" s="172"/>
      <c r="H1355" s="164"/>
      <c r="I1355" s="164"/>
      <c r="J1355" s="164"/>
      <c r="K1355" s="223"/>
      <c r="L1355" s="234"/>
      <c r="M1355" s="202"/>
      <c r="N1355" s="250"/>
      <c r="O1355" s="203"/>
      <c r="P1355" s="248"/>
      <c r="Q1355" s="201"/>
      <c r="R1355" s="255"/>
      <c r="S1355" s="226"/>
      <c r="T1355" s="235"/>
      <c r="U1355" s="170"/>
    </row>
    <row r="1356" spans="1:21" ht="15.75" hidden="1" outlineLevel="3">
      <c r="A1356" s="162"/>
      <c r="B1356" s="152"/>
      <c r="C1356" s="236" t="s">
        <v>492</v>
      </c>
      <c r="D1356" s="344"/>
      <c r="E1356" s="164"/>
      <c r="F1356" s="165"/>
      <c r="G1356" s="172"/>
      <c r="H1356" s="164"/>
      <c r="I1356" s="164"/>
      <c r="J1356" s="164"/>
      <c r="K1356" s="223"/>
      <c r="L1356" s="234"/>
      <c r="M1356" s="202"/>
      <c r="N1356" s="250"/>
      <c r="O1356" s="203"/>
      <c r="P1356" s="248"/>
      <c r="Q1356" s="201"/>
      <c r="R1356" s="255"/>
      <c r="S1356" s="226"/>
      <c r="T1356" s="235"/>
      <c r="U1356" s="170"/>
    </row>
    <row r="1357" spans="1:21" ht="15.75" hidden="1" outlineLevel="3">
      <c r="A1357" s="162"/>
      <c r="B1357" s="152"/>
      <c r="C1357" s="236" t="s">
        <v>493</v>
      </c>
      <c r="D1357" s="344"/>
      <c r="E1357" s="164"/>
      <c r="F1357" s="165"/>
      <c r="G1357" s="172"/>
      <c r="H1357" s="164"/>
      <c r="I1357" s="164"/>
      <c r="J1357" s="164"/>
      <c r="K1357" s="223"/>
      <c r="L1357" s="234"/>
      <c r="M1357" s="202"/>
      <c r="N1357" s="250"/>
      <c r="O1357" s="203"/>
      <c r="P1357" s="248"/>
      <c r="Q1357" s="201"/>
      <c r="R1357" s="255"/>
      <c r="S1357" s="226"/>
      <c r="T1357" s="235"/>
      <c r="U1357" s="170"/>
    </row>
    <row r="1358" spans="1:21" ht="15.75" hidden="1" outlineLevel="3">
      <c r="A1358" s="162"/>
      <c r="B1358" s="152"/>
      <c r="C1358" s="236" t="s">
        <v>494</v>
      </c>
      <c r="D1358" s="344"/>
      <c r="E1358" s="164"/>
      <c r="F1358" s="165"/>
      <c r="G1358" s="172"/>
      <c r="H1358" s="164"/>
      <c r="I1358" s="164"/>
      <c r="J1358" s="164"/>
      <c r="K1358" s="223"/>
      <c r="L1358" s="234"/>
      <c r="M1358" s="202"/>
      <c r="N1358" s="250"/>
      <c r="O1358" s="203"/>
      <c r="P1358" s="248"/>
      <c r="Q1358" s="201"/>
      <c r="R1358" s="255"/>
      <c r="S1358" s="226"/>
      <c r="T1358" s="235"/>
      <c r="U1358" s="161"/>
    </row>
    <row r="1359" spans="1:21" ht="15.75" hidden="1" outlineLevel="3">
      <c r="A1359" s="162"/>
      <c r="B1359" s="152"/>
      <c r="C1359" s="151" t="s">
        <v>507</v>
      </c>
      <c r="D1359" s="339"/>
      <c r="E1359" s="164"/>
      <c r="F1359" s="165"/>
      <c r="G1359" s="172"/>
      <c r="H1359" s="164"/>
      <c r="I1359" s="164"/>
      <c r="J1359" s="164"/>
      <c r="K1359" s="223"/>
      <c r="L1359" s="234"/>
      <c r="M1359" s="202"/>
      <c r="N1359" s="250"/>
      <c r="O1359" s="203"/>
      <c r="P1359" s="248"/>
      <c r="Q1359" s="201"/>
      <c r="R1359" s="255"/>
      <c r="S1359" s="226"/>
      <c r="T1359" s="235"/>
      <c r="U1359" s="170"/>
    </row>
    <row r="1360" spans="1:21" ht="15.75" hidden="1" outlineLevel="3">
      <c r="A1360" s="162"/>
      <c r="B1360" s="152"/>
      <c r="C1360" s="174" t="s">
        <v>496</v>
      </c>
      <c r="D1360" s="340"/>
      <c r="E1360" s="164"/>
      <c r="F1360" s="165"/>
      <c r="G1360" s="172"/>
      <c r="H1360" s="164"/>
      <c r="I1360" s="164"/>
      <c r="J1360" s="164"/>
      <c r="K1360" s="223"/>
      <c r="L1360" s="234"/>
      <c r="M1360" s="202"/>
      <c r="N1360" s="250"/>
      <c r="O1360" s="203"/>
      <c r="P1360" s="248"/>
      <c r="Q1360" s="201"/>
      <c r="R1360" s="255"/>
      <c r="S1360" s="226"/>
      <c r="T1360" s="235"/>
      <c r="U1360" s="170"/>
    </row>
    <row r="1361" spans="1:21" ht="15.75" hidden="1" outlineLevel="3">
      <c r="A1361" s="162"/>
      <c r="B1361" s="152"/>
      <c r="C1361" s="174" t="s">
        <v>497</v>
      </c>
      <c r="D1361" s="340"/>
      <c r="E1361" s="164"/>
      <c r="F1361" s="165"/>
      <c r="G1361" s="172"/>
      <c r="H1361" s="164"/>
      <c r="I1361" s="164"/>
      <c r="J1361" s="164"/>
      <c r="K1361" s="223"/>
      <c r="L1361" s="234"/>
      <c r="M1361" s="202"/>
      <c r="N1361" s="250"/>
      <c r="O1361" s="203"/>
      <c r="P1361" s="248"/>
      <c r="Q1361" s="201"/>
      <c r="R1361" s="255"/>
      <c r="S1361" s="226"/>
      <c r="T1361" s="235"/>
      <c r="U1361" s="170"/>
    </row>
    <row r="1362" spans="1:21" ht="15.75" hidden="1" outlineLevel="3">
      <c r="A1362" s="162"/>
      <c r="B1362" s="152"/>
      <c r="C1362" s="174" t="s">
        <v>499</v>
      </c>
      <c r="D1362" s="340"/>
      <c r="E1362" s="164"/>
      <c r="F1362" s="165"/>
      <c r="G1362" s="172"/>
      <c r="H1362" s="164"/>
      <c r="I1362" s="164"/>
      <c r="J1362" s="164"/>
      <c r="K1362" s="223"/>
      <c r="L1362" s="234"/>
      <c r="M1362" s="202"/>
      <c r="N1362" s="250"/>
      <c r="O1362" s="203"/>
      <c r="P1362" s="248"/>
      <c r="Q1362" s="201"/>
      <c r="R1362" s="255"/>
      <c r="S1362" s="226"/>
      <c r="T1362" s="235"/>
      <c r="U1362" s="170"/>
    </row>
    <row r="1363" spans="1:21" ht="15.75" hidden="1" outlineLevel="3">
      <c r="A1363" s="162"/>
      <c r="B1363" s="152"/>
      <c r="C1363" s="174" t="s">
        <v>379</v>
      </c>
      <c r="D1363" s="340"/>
      <c r="E1363" s="164"/>
      <c r="F1363" s="165"/>
      <c r="G1363" s="172"/>
      <c r="H1363" s="164"/>
      <c r="I1363" s="164"/>
      <c r="J1363" s="164"/>
      <c r="K1363" s="223"/>
      <c r="L1363" s="234"/>
      <c r="M1363" s="202"/>
      <c r="N1363" s="250"/>
      <c r="O1363" s="203"/>
      <c r="P1363" s="248"/>
      <c r="Q1363" s="171"/>
      <c r="R1363" s="255"/>
      <c r="S1363" s="226"/>
      <c r="T1363" s="235"/>
      <c r="U1363" s="161"/>
    </row>
    <row r="1364" spans="1:21" s="233" customFormat="1" hidden="1" outlineLevel="3">
      <c r="A1364" s="232"/>
      <c r="B1364" s="151"/>
      <c r="C1364" s="174" t="s">
        <v>662</v>
      </c>
      <c r="D1364" s="345"/>
      <c r="E1364" s="157"/>
      <c r="F1364" s="158"/>
      <c r="G1364" s="197"/>
      <c r="H1364" s="157"/>
      <c r="I1364" s="157"/>
      <c r="J1364" s="157"/>
      <c r="K1364" s="440">
        <f>CIP!$AV$12</f>
        <v>0</v>
      </c>
      <c r="L1364" s="155">
        <f>SUM(G1364:K1364)</f>
        <v>0</v>
      </c>
      <c r="M1364" s="156"/>
      <c r="N1364" s="250"/>
      <c r="O1364" s="157"/>
      <c r="P1364" s="248"/>
      <c r="Q1364" s="158"/>
      <c r="R1364" s="255"/>
      <c r="S1364" s="159">
        <f t="shared" ref="S1364:S1365" si="86">SUM(L1364,N1364,P1364,R1364)</f>
        <v>0</v>
      </c>
      <c r="T1364" s="225"/>
      <c r="U1364" s="170"/>
    </row>
    <row r="1365" spans="1:21" s="233" customFormat="1" hidden="1" outlineLevel="2" collapsed="1">
      <c r="A1365" s="232"/>
      <c r="B1365" s="171"/>
      <c r="C1365" s="151" t="s">
        <v>661</v>
      </c>
      <c r="D1365" s="339"/>
      <c r="E1365" s="157"/>
      <c r="F1365" s="158"/>
      <c r="G1365" s="249"/>
      <c r="H1365" s="157"/>
      <c r="I1365" s="244"/>
      <c r="J1365" s="157"/>
      <c r="K1365" s="255">
        <f>SUM(K1364)</f>
        <v>0</v>
      </c>
      <c r="L1365" s="159">
        <f>SUM(G1365:K1365)</f>
        <v>0</v>
      </c>
      <c r="M1365" s="156"/>
      <c r="N1365" s="244"/>
      <c r="O1365" s="157"/>
      <c r="P1365" s="244"/>
      <c r="Q1365" s="158"/>
      <c r="R1365" s="255"/>
      <c r="S1365" s="159">
        <f t="shared" si="86"/>
        <v>0</v>
      </c>
      <c r="T1365" s="225"/>
      <c r="U1365" s="170" t="s">
        <v>600</v>
      </c>
    </row>
    <row r="1366" spans="1:21" s="233" customFormat="1" hidden="1" outlineLevel="3">
      <c r="A1366" s="232"/>
      <c r="B1366" s="151" t="s">
        <v>663</v>
      </c>
      <c r="C1366" s="171"/>
      <c r="D1366" s="343"/>
      <c r="E1366" s="157"/>
      <c r="F1366" s="158"/>
      <c r="G1366" s="197"/>
      <c r="H1366" s="157"/>
      <c r="I1366" s="157"/>
      <c r="J1366" s="157"/>
      <c r="K1366" s="215"/>
      <c r="L1366" s="155"/>
      <c r="M1366" s="156"/>
      <c r="N1366" s="250"/>
      <c r="O1366" s="157"/>
      <c r="P1366" s="248"/>
      <c r="Q1366" s="158"/>
      <c r="R1366" s="255"/>
      <c r="S1366" s="159"/>
      <c r="T1366" s="225"/>
      <c r="U1366" s="170"/>
    </row>
    <row r="1367" spans="1:21" ht="15.75" hidden="1" outlineLevel="3">
      <c r="A1367" s="162"/>
      <c r="B1367" s="152"/>
      <c r="C1367" s="151" t="s">
        <v>503</v>
      </c>
      <c r="D1367" s="339"/>
      <c r="E1367" s="164"/>
      <c r="F1367" s="165"/>
      <c r="G1367" s="172"/>
      <c r="H1367" s="164"/>
      <c r="I1367" s="164"/>
      <c r="J1367" s="164"/>
      <c r="K1367" s="223"/>
      <c r="L1367" s="234"/>
      <c r="M1367" s="202"/>
      <c r="N1367" s="250"/>
      <c r="O1367" s="203"/>
      <c r="P1367" s="248"/>
      <c r="Q1367" s="201"/>
      <c r="R1367" s="255"/>
      <c r="S1367" s="226"/>
      <c r="T1367" s="235"/>
      <c r="U1367" s="170"/>
    </row>
    <row r="1368" spans="1:21" ht="15.75" hidden="1" outlineLevel="3">
      <c r="A1368" s="162"/>
      <c r="B1368" s="152"/>
      <c r="C1368" s="236" t="s">
        <v>520</v>
      </c>
      <c r="D1368" s="344"/>
      <c r="E1368" s="164"/>
      <c r="F1368" s="165"/>
      <c r="G1368" s="172"/>
      <c r="H1368" s="164"/>
      <c r="I1368" s="164"/>
      <c r="J1368" s="164"/>
      <c r="K1368" s="223"/>
      <c r="L1368" s="234"/>
      <c r="M1368" s="202"/>
      <c r="N1368" s="250"/>
      <c r="O1368" s="203"/>
      <c r="P1368" s="248"/>
      <c r="Q1368" s="201">
        <v>150000</v>
      </c>
      <c r="R1368" s="255">
        <f>Q1368*1.73</f>
        <v>259500</v>
      </c>
      <c r="S1368" s="159">
        <f t="shared" ref="S1368:S1393" si="87">SUM(L1368,N1368,P1368,R1368)</f>
        <v>259500</v>
      </c>
      <c r="T1368" s="235"/>
      <c r="U1368" s="170"/>
    </row>
    <row r="1369" spans="1:21" ht="15.75" hidden="1" outlineLevel="3">
      <c r="A1369" s="162"/>
      <c r="B1369" s="152"/>
      <c r="C1369" s="236" t="s">
        <v>478</v>
      </c>
      <c r="D1369" s="344"/>
      <c r="E1369" s="164"/>
      <c r="F1369" s="165"/>
      <c r="G1369" s="172"/>
      <c r="H1369" s="219">
        <f>CIP!$AS$51</f>
        <v>0</v>
      </c>
      <c r="I1369" s="164"/>
      <c r="J1369" s="164"/>
      <c r="K1369" s="223"/>
      <c r="L1369" s="234">
        <f>SUM(G1369:K1369)</f>
        <v>0</v>
      </c>
      <c r="M1369" s="202"/>
      <c r="N1369" s="250"/>
      <c r="O1369" s="203"/>
      <c r="P1369" s="248"/>
      <c r="Q1369" s="201"/>
      <c r="R1369" s="255"/>
      <c r="S1369" s="159">
        <f t="shared" si="87"/>
        <v>0</v>
      </c>
      <c r="T1369" s="235"/>
      <c r="U1369" s="170"/>
    </row>
    <row r="1370" spans="1:21" ht="15.75" hidden="1" outlineLevel="3">
      <c r="A1370" s="162"/>
      <c r="B1370" s="152"/>
      <c r="C1370" s="236" t="s">
        <v>479</v>
      </c>
      <c r="D1370" s="344"/>
      <c r="E1370" s="164"/>
      <c r="F1370" s="165"/>
      <c r="G1370" s="172"/>
      <c r="H1370" s="164"/>
      <c r="I1370" s="164"/>
      <c r="J1370" s="164"/>
      <c r="K1370" s="223"/>
      <c r="L1370" s="220"/>
      <c r="M1370" s="204"/>
      <c r="N1370" s="250"/>
      <c r="O1370" s="203"/>
      <c r="P1370" s="248"/>
      <c r="Q1370" s="201"/>
      <c r="R1370" s="255"/>
      <c r="S1370" s="159"/>
      <c r="T1370" s="235"/>
      <c r="U1370" s="170"/>
    </row>
    <row r="1371" spans="1:21" ht="15.75" hidden="1" outlineLevel="3">
      <c r="A1371" s="162"/>
      <c r="B1371" s="152"/>
      <c r="C1371" s="236" t="s">
        <v>480</v>
      </c>
      <c r="D1371" s="344"/>
      <c r="E1371" s="164"/>
      <c r="F1371" s="165"/>
      <c r="G1371" s="172"/>
      <c r="H1371" s="164"/>
      <c r="I1371" s="164"/>
      <c r="J1371" s="164"/>
      <c r="K1371" s="223"/>
      <c r="L1371" s="234"/>
      <c r="M1371" s="202"/>
      <c r="N1371" s="250"/>
      <c r="O1371" s="203"/>
      <c r="P1371" s="248"/>
      <c r="Q1371" s="201"/>
      <c r="R1371" s="255"/>
      <c r="S1371" s="159"/>
      <c r="T1371" s="235"/>
      <c r="U1371" s="170"/>
    </row>
    <row r="1372" spans="1:21" ht="15.75" hidden="1" outlineLevel="3">
      <c r="A1372" s="162"/>
      <c r="B1372" s="152"/>
      <c r="C1372" s="236" t="s">
        <v>512</v>
      </c>
      <c r="D1372" s="344"/>
      <c r="E1372" s="164"/>
      <c r="F1372" s="165"/>
      <c r="G1372" s="172"/>
      <c r="H1372" s="164"/>
      <c r="I1372" s="164"/>
      <c r="J1372" s="164"/>
      <c r="K1372" s="223"/>
      <c r="L1372" s="234"/>
      <c r="M1372" s="202"/>
      <c r="N1372" s="250"/>
      <c r="O1372" s="203"/>
      <c r="P1372" s="248"/>
      <c r="Q1372" s="201"/>
      <c r="R1372" s="255"/>
      <c r="S1372" s="159"/>
      <c r="T1372" s="235"/>
      <c r="U1372" s="170"/>
    </row>
    <row r="1373" spans="1:21" ht="15.75" hidden="1" outlineLevel="3">
      <c r="A1373" s="162"/>
      <c r="B1373" s="152"/>
      <c r="C1373" s="151" t="s">
        <v>504</v>
      </c>
      <c r="D1373" s="339"/>
      <c r="E1373" s="164"/>
      <c r="F1373" s="165"/>
      <c r="G1373" s="172"/>
      <c r="H1373" s="164"/>
      <c r="I1373" s="164"/>
      <c r="J1373" s="164"/>
      <c r="K1373" s="223"/>
      <c r="L1373" s="234"/>
      <c r="M1373" s="202"/>
      <c r="N1373" s="250"/>
      <c r="O1373" s="203"/>
      <c r="P1373" s="248"/>
      <c r="Q1373" s="201"/>
      <c r="R1373" s="255"/>
      <c r="S1373" s="159"/>
      <c r="T1373" s="235"/>
      <c r="U1373" s="170"/>
    </row>
    <row r="1374" spans="1:21" ht="15.75" hidden="1" outlineLevel="3">
      <c r="A1374" s="162"/>
      <c r="B1374" s="152"/>
      <c r="C1374" s="236" t="s">
        <v>483</v>
      </c>
      <c r="D1374" s="344"/>
      <c r="E1374" s="164"/>
      <c r="F1374" s="165"/>
      <c r="G1374" s="172"/>
      <c r="H1374" s="164"/>
      <c r="I1374" s="164"/>
      <c r="J1374" s="164"/>
      <c r="K1374" s="223"/>
      <c r="L1374" s="234"/>
      <c r="M1374" s="202"/>
      <c r="N1374" s="250"/>
      <c r="O1374" s="203"/>
      <c r="P1374" s="248"/>
      <c r="Q1374" s="201"/>
      <c r="R1374" s="255"/>
      <c r="S1374" s="159"/>
      <c r="T1374" s="235"/>
      <c r="U1374" s="170"/>
    </row>
    <row r="1375" spans="1:21" ht="15.75" hidden="1" outlineLevel="3">
      <c r="A1375" s="162"/>
      <c r="B1375" s="152"/>
      <c r="C1375" s="236" t="s">
        <v>484</v>
      </c>
      <c r="D1375" s="344"/>
      <c r="E1375" s="164"/>
      <c r="F1375" s="165"/>
      <c r="G1375" s="172"/>
      <c r="H1375" s="164"/>
      <c r="I1375" s="164"/>
      <c r="J1375" s="164"/>
      <c r="K1375" s="223"/>
      <c r="L1375" s="234"/>
      <c r="M1375" s="202"/>
      <c r="N1375" s="250"/>
      <c r="O1375" s="203"/>
      <c r="P1375" s="248"/>
      <c r="Q1375" s="201"/>
      <c r="R1375" s="255"/>
      <c r="S1375" s="159"/>
      <c r="T1375" s="235"/>
      <c r="U1375" s="170"/>
    </row>
    <row r="1376" spans="1:21" ht="15.75" hidden="1" outlineLevel="3">
      <c r="A1376" s="162"/>
      <c r="B1376" s="152"/>
      <c r="C1376" s="236" t="s">
        <v>479</v>
      </c>
      <c r="D1376" s="344"/>
      <c r="E1376" s="164"/>
      <c r="F1376" s="165"/>
      <c r="G1376" s="172"/>
      <c r="H1376" s="164"/>
      <c r="I1376" s="164"/>
      <c r="J1376" s="164"/>
      <c r="K1376" s="223"/>
      <c r="L1376" s="234"/>
      <c r="M1376" s="202"/>
      <c r="N1376" s="250"/>
      <c r="O1376" s="203"/>
      <c r="P1376" s="248"/>
      <c r="Q1376" s="201"/>
      <c r="R1376" s="255"/>
      <c r="S1376" s="159"/>
      <c r="T1376" s="235"/>
      <c r="U1376" s="170"/>
    </row>
    <row r="1377" spans="1:21" ht="15.75" hidden="1" outlineLevel="3">
      <c r="A1377" s="162"/>
      <c r="B1377" s="152"/>
      <c r="C1377" s="236" t="s">
        <v>485</v>
      </c>
      <c r="D1377" s="344"/>
      <c r="E1377" s="164"/>
      <c r="F1377" s="165"/>
      <c r="G1377" s="172"/>
      <c r="H1377" s="164"/>
      <c r="I1377" s="164"/>
      <c r="J1377" s="164"/>
      <c r="K1377" s="223"/>
      <c r="L1377" s="234"/>
      <c r="M1377" s="202"/>
      <c r="N1377" s="250"/>
      <c r="O1377" s="203"/>
      <c r="P1377" s="248"/>
      <c r="Q1377" s="201"/>
      <c r="R1377" s="255"/>
      <c r="S1377" s="159"/>
      <c r="T1377" s="235"/>
      <c r="U1377" s="170"/>
    </row>
    <row r="1378" spans="1:21" ht="15.75" hidden="1" outlineLevel="3">
      <c r="A1378" s="162"/>
      <c r="B1378" s="152"/>
      <c r="C1378" s="151" t="s">
        <v>505</v>
      </c>
      <c r="D1378" s="339"/>
      <c r="E1378" s="164"/>
      <c r="F1378" s="165"/>
      <c r="G1378" s="172"/>
      <c r="H1378" s="164"/>
      <c r="I1378" s="164"/>
      <c r="J1378" s="164"/>
      <c r="K1378" s="223"/>
      <c r="L1378" s="234"/>
      <c r="M1378" s="202"/>
      <c r="N1378" s="250"/>
      <c r="O1378" s="203"/>
      <c r="P1378" s="248"/>
      <c r="Q1378" s="201"/>
      <c r="R1378" s="255"/>
      <c r="S1378" s="159"/>
      <c r="T1378" s="235"/>
      <c r="U1378" s="170"/>
    </row>
    <row r="1379" spans="1:21" ht="15.75" hidden="1" outlineLevel="3">
      <c r="A1379" s="162"/>
      <c r="B1379" s="152"/>
      <c r="C1379" s="236" t="s">
        <v>487</v>
      </c>
      <c r="D1379" s="344"/>
      <c r="E1379" s="164"/>
      <c r="F1379" s="165"/>
      <c r="G1379" s="172"/>
      <c r="H1379" s="164"/>
      <c r="I1379" s="164"/>
      <c r="J1379" s="164"/>
      <c r="K1379" s="223"/>
      <c r="L1379" s="234"/>
      <c r="M1379" s="202"/>
      <c r="N1379" s="250"/>
      <c r="O1379" s="203"/>
      <c r="P1379" s="248"/>
      <c r="Q1379" s="201"/>
      <c r="R1379" s="255"/>
      <c r="S1379" s="159"/>
      <c r="T1379" s="235"/>
      <c r="U1379" s="170"/>
    </row>
    <row r="1380" spans="1:21" ht="15.75" hidden="1" outlineLevel="3">
      <c r="A1380" s="162"/>
      <c r="B1380" s="152"/>
      <c r="C1380" s="236" t="s">
        <v>479</v>
      </c>
      <c r="D1380" s="344"/>
      <c r="E1380" s="164"/>
      <c r="F1380" s="165"/>
      <c r="G1380" s="172"/>
      <c r="H1380" s="164"/>
      <c r="I1380" s="164"/>
      <c r="J1380" s="164"/>
      <c r="K1380" s="223"/>
      <c r="L1380" s="234"/>
      <c r="M1380" s="202"/>
      <c r="N1380" s="250"/>
      <c r="O1380" s="203"/>
      <c r="P1380" s="248"/>
      <c r="Q1380" s="201"/>
      <c r="R1380" s="255"/>
      <c r="S1380" s="159"/>
      <c r="T1380" s="235"/>
      <c r="U1380" s="170"/>
    </row>
    <row r="1381" spans="1:21" ht="15.75" hidden="1" outlineLevel="3">
      <c r="A1381" s="162"/>
      <c r="B1381" s="152"/>
      <c r="C1381" s="236" t="s">
        <v>488</v>
      </c>
      <c r="D1381" s="344"/>
      <c r="E1381" s="164"/>
      <c r="F1381" s="165"/>
      <c r="G1381" s="172"/>
      <c r="H1381" s="164"/>
      <c r="I1381" s="164"/>
      <c r="J1381" s="164"/>
      <c r="K1381" s="223"/>
      <c r="L1381" s="234"/>
      <c r="M1381" s="202"/>
      <c r="N1381" s="250"/>
      <c r="O1381" s="203"/>
      <c r="P1381" s="248"/>
      <c r="Q1381" s="201"/>
      <c r="R1381" s="255"/>
      <c r="S1381" s="159"/>
      <c r="T1381" s="235"/>
      <c r="U1381" s="170"/>
    </row>
    <row r="1382" spans="1:21" ht="15.75" hidden="1" outlineLevel="3">
      <c r="A1382" s="162"/>
      <c r="B1382" s="152"/>
      <c r="C1382" s="236" t="s">
        <v>489</v>
      </c>
      <c r="D1382" s="344"/>
      <c r="E1382" s="164"/>
      <c r="F1382" s="165"/>
      <c r="G1382" s="172"/>
      <c r="H1382" s="164"/>
      <c r="I1382" s="164"/>
      <c r="J1382" s="164"/>
      <c r="K1382" s="223"/>
      <c r="L1382" s="234"/>
      <c r="M1382" s="202"/>
      <c r="N1382" s="250"/>
      <c r="O1382" s="203"/>
      <c r="P1382" s="248"/>
      <c r="Q1382" s="201"/>
      <c r="R1382" s="255"/>
      <c r="S1382" s="159"/>
      <c r="T1382" s="235"/>
      <c r="U1382" s="170"/>
    </row>
    <row r="1383" spans="1:21" ht="15.75" hidden="1" outlineLevel="3">
      <c r="A1383" s="162"/>
      <c r="B1383" s="152"/>
      <c r="C1383" s="151" t="s">
        <v>506</v>
      </c>
      <c r="D1383" s="339"/>
      <c r="E1383" s="164"/>
      <c r="F1383" s="165"/>
      <c r="G1383" s="172"/>
      <c r="H1383" s="164"/>
      <c r="I1383" s="164"/>
      <c r="J1383" s="164"/>
      <c r="K1383" s="223"/>
      <c r="L1383" s="234"/>
      <c r="M1383" s="202"/>
      <c r="N1383" s="250"/>
      <c r="O1383" s="203"/>
      <c r="P1383" s="248"/>
      <c r="Q1383" s="201"/>
      <c r="R1383" s="255"/>
      <c r="S1383" s="159"/>
      <c r="T1383" s="235"/>
      <c r="U1383" s="170"/>
    </row>
    <row r="1384" spans="1:21" ht="15.75" hidden="1" outlineLevel="3">
      <c r="A1384" s="162"/>
      <c r="B1384" s="152"/>
      <c r="C1384" s="236" t="s">
        <v>491</v>
      </c>
      <c r="D1384" s="344"/>
      <c r="E1384" s="164"/>
      <c r="F1384" s="165"/>
      <c r="G1384" s="172"/>
      <c r="H1384" s="164"/>
      <c r="I1384" s="164"/>
      <c r="J1384" s="164"/>
      <c r="K1384" s="223"/>
      <c r="L1384" s="234"/>
      <c r="M1384" s="202"/>
      <c r="N1384" s="250"/>
      <c r="O1384" s="203"/>
      <c r="P1384" s="248"/>
      <c r="Q1384" s="201"/>
      <c r="R1384" s="255"/>
      <c r="S1384" s="159"/>
      <c r="T1384" s="235"/>
      <c r="U1384" s="170"/>
    </row>
    <row r="1385" spans="1:21" ht="15.75" hidden="1" outlineLevel="3">
      <c r="A1385" s="162"/>
      <c r="B1385" s="152"/>
      <c r="C1385" s="236" t="s">
        <v>492</v>
      </c>
      <c r="D1385" s="344"/>
      <c r="E1385" s="164"/>
      <c r="F1385" s="165"/>
      <c r="G1385" s="172"/>
      <c r="H1385" s="164"/>
      <c r="I1385" s="164"/>
      <c r="J1385" s="164"/>
      <c r="K1385" s="223"/>
      <c r="L1385" s="234"/>
      <c r="M1385" s="202"/>
      <c r="N1385" s="250"/>
      <c r="O1385" s="203"/>
      <c r="P1385" s="248"/>
      <c r="Q1385" s="201">
        <v>100000</v>
      </c>
      <c r="R1385" s="255">
        <f t="shared" ref="R1385:R1386" si="88">Q1385*1.73</f>
        <v>173000</v>
      </c>
      <c r="S1385" s="159">
        <f t="shared" si="87"/>
        <v>173000</v>
      </c>
      <c r="T1385" s="235"/>
      <c r="U1385" s="170"/>
    </row>
    <row r="1386" spans="1:21" ht="15.75" hidden="1" outlineLevel="3">
      <c r="A1386" s="162"/>
      <c r="B1386" s="152"/>
      <c r="C1386" s="236" t="s">
        <v>493</v>
      </c>
      <c r="D1386" s="344"/>
      <c r="E1386" s="164"/>
      <c r="F1386" s="165"/>
      <c r="G1386" s="172"/>
      <c r="H1386" s="164"/>
      <c r="I1386" s="164"/>
      <c r="J1386" s="164"/>
      <c r="K1386" s="223"/>
      <c r="L1386" s="234"/>
      <c r="M1386" s="202"/>
      <c r="N1386" s="250"/>
      <c r="O1386" s="203"/>
      <c r="P1386" s="248"/>
      <c r="Q1386" s="201">
        <v>238000</v>
      </c>
      <c r="R1386" s="255">
        <f t="shared" si="88"/>
        <v>411740</v>
      </c>
      <c r="S1386" s="159">
        <f t="shared" si="87"/>
        <v>411740</v>
      </c>
      <c r="T1386" s="235"/>
      <c r="U1386" s="170"/>
    </row>
    <row r="1387" spans="1:21" ht="15.75" hidden="1" outlineLevel="3">
      <c r="A1387" s="162"/>
      <c r="B1387" s="152"/>
      <c r="C1387" s="236" t="s">
        <v>494</v>
      </c>
      <c r="D1387" s="344"/>
      <c r="E1387" s="164"/>
      <c r="F1387" s="165"/>
      <c r="G1387" s="172"/>
      <c r="H1387" s="164"/>
      <c r="I1387" s="164"/>
      <c r="J1387" s="164"/>
      <c r="K1387" s="223"/>
      <c r="L1387" s="234"/>
      <c r="M1387" s="202"/>
      <c r="N1387" s="250"/>
      <c r="O1387" s="203"/>
      <c r="P1387" s="248"/>
      <c r="Q1387" s="201"/>
      <c r="R1387" s="255"/>
      <c r="S1387" s="159"/>
      <c r="T1387" s="235"/>
      <c r="U1387" s="161"/>
    </row>
    <row r="1388" spans="1:21" ht="15.75" hidden="1" outlineLevel="3">
      <c r="A1388" s="162"/>
      <c r="B1388" s="152"/>
      <c r="C1388" s="151" t="s">
        <v>507</v>
      </c>
      <c r="D1388" s="339"/>
      <c r="E1388" s="164"/>
      <c r="F1388" s="165"/>
      <c r="G1388" s="172"/>
      <c r="H1388" s="164"/>
      <c r="I1388" s="164"/>
      <c r="J1388" s="164"/>
      <c r="K1388" s="223"/>
      <c r="L1388" s="234"/>
      <c r="M1388" s="202"/>
      <c r="N1388" s="250"/>
      <c r="O1388" s="203"/>
      <c r="P1388" s="248"/>
      <c r="Q1388" s="201"/>
      <c r="R1388" s="255"/>
      <c r="S1388" s="159"/>
      <c r="T1388" s="235"/>
      <c r="U1388" s="170"/>
    </row>
    <row r="1389" spans="1:21" ht="15.75" hidden="1" outlineLevel="3">
      <c r="A1389" s="162"/>
      <c r="B1389" s="152"/>
      <c r="C1389" s="174" t="s">
        <v>496</v>
      </c>
      <c r="D1389" s="340"/>
      <c r="E1389" s="164"/>
      <c r="F1389" s="165"/>
      <c r="G1389" s="172"/>
      <c r="H1389" s="164"/>
      <c r="I1389" s="164"/>
      <c r="J1389" s="164"/>
      <c r="K1389" s="223"/>
      <c r="L1389" s="234"/>
      <c r="M1389" s="202"/>
      <c r="N1389" s="250"/>
      <c r="O1389" s="203"/>
      <c r="P1389" s="248"/>
      <c r="Q1389" s="201"/>
      <c r="R1389" s="255"/>
      <c r="S1389" s="159"/>
      <c r="T1389" s="235"/>
      <c r="U1389" s="170"/>
    </row>
    <row r="1390" spans="1:21" ht="15.75" hidden="1" outlineLevel="3">
      <c r="A1390" s="162"/>
      <c r="B1390" s="152"/>
      <c r="C1390" s="174" t="s">
        <v>497</v>
      </c>
      <c r="D1390" s="340"/>
      <c r="E1390" s="164"/>
      <c r="F1390" s="165"/>
      <c r="G1390" s="172"/>
      <c r="H1390" s="164"/>
      <c r="I1390" s="164"/>
      <c r="J1390" s="164"/>
      <c r="K1390" s="223"/>
      <c r="L1390" s="234"/>
      <c r="M1390" s="202"/>
      <c r="N1390" s="250"/>
      <c r="O1390" s="203"/>
      <c r="P1390" s="248"/>
      <c r="Q1390" s="201"/>
      <c r="R1390" s="255"/>
      <c r="S1390" s="159"/>
      <c r="T1390" s="235"/>
      <c r="U1390" s="170"/>
    </row>
    <row r="1391" spans="1:21" ht="15.75" hidden="1" outlineLevel="3">
      <c r="A1391" s="162"/>
      <c r="B1391" s="152"/>
      <c r="C1391" s="174" t="s">
        <v>499</v>
      </c>
      <c r="D1391" s="340"/>
      <c r="E1391" s="164"/>
      <c r="F1391" s="165"/>
      <c r="G1391" s="172"/>
      <c r="H1391" s="164"/>
      <c r="I1391" s="164"/>
      <c r="J1391" s="164"/>
      <c r="K1391" s="223"/>
      <c r="L1391" s="234"/>
      <c r="M1391" s="202"/>
      <c r="N1391" s="250"/>
      <c r="O1391" s="203"/>
      <c r="P1391" s="248"/>
      <c r="Q1391" s="201"/>
      <c r="R1391" s="255"/>
      <c r="S1391" s="159"/>
      <c r="T1391" s="235"/>
      <c r="U1391" s="170"/>
    </row>
    <row r="1392" spans="1:21" ht="15.75" hidden="1" outlineLevel="3">
      <c r="A1392" s="162"/>
      <c r="B1392" s="152"/>
      <c r="C1392" s="174" t="s">
        <v>526</v>
      </c>
      <c r="D1392" s="340"/>
      <c r="E1392" s="164"/>
      <c r="F1392" s="165"/>
      <c r="G1392" s="172"/>
      <c r="H1392" s="164"/>
      <c r="I1392" s="164"/>
      <c r="J1392" s="219"/>
      <c r="K1392" s="223"/>
      <c r="L1392" s="234"/>
      <c r="M1392" s="202"/>
      <c r="N1392" s="250"/>
      <c r="O1392" s="203">
        <v>240000</v>
      </c>
      <c r="P1392" s="248">
        <f>O1392*1.46</f>
        <v>350400</v>
      </c>
      <c r="Q1392" s="201"/>
      <c r="R1392" s="255"/>
      <c r="S1392" s="159">
        <f t="shared" si="87"/>
        <v>350400</v>
      </c>
      <c r="T1392" s="235"/>
      <c r="U1392" s="161"/>
    </row>
    <row r="1393" spans="1:21" ht="15.75" hidden="1" outlineLevel="2" collapsed="1">
      <c r="A1393" s="162"/>
      <c r="B1393" s="152"/>
      <c r="C1393" s="151" t="s">
        <v>663</v>
      </c>
      <c r="D1393" s="339"/>
      <c r="E1393" s="164"/>
      <c r="F1393" s="165"/>
      <c r="G1393" s="249"/>
      <c r="H1393" s="244">
        <f>SUM(H1367:H1392)</f>
        <v>0</v>
      </c>
      <c r="I1393" s="244"/>
      <c r="J1393" s="244"/>
      <c r="K1393" s="255"/>
      <c r="L1393" s="226">
        <f>SUM(L1367:L1392)</f>
        <v>0</v>
      </c>
      <c r="M1393" s="202"/>
      <c r="N1393" s="244"/>
      <c r="O1393" s="203">
        <f>SUM(O1368:O1392)</f>
        <v>240000</v>
      </c>
      <c r="P1393" s="244">
        <f>O1393*1.46</f>
        <v>350400</v>
      </c>
      <c r="Q1393" s="201">
        <f>SUM(Q1367:Q1392)</f>
        <v>488000</v>
      </c>
      <c r="R1393" s="255">
        <f>Q1393*1.73</f>
        <v>844240</v>
      </c>
      <c r="S1393" s="159">
        <f t="shared" si="87"/>
        <v>1194640</v>
      </c>
      <c r="T1393" s="235"/>
      <c r="U1393" s="161"/>
    </row>
    <row r="1394" spans="1:21" s="233" customFormat="1" hidden="1" outlineLevel="3">
      <c r="A1394" s="232"/>
      <c r="B1394" s="151" t="s">
        <v>664</v>
      </c>
      <c r="C1394" s="171"/>
      <c r="D1394" s="343"/>
      <c r="E1394" s="157"/>
      <c r="F1394" s="158"/>
      <c r="G1394" s="197"/>
      <c r="H1394" s="157"/>
      <c r="I1394" s="157"/>
      <c r="J1394" s="157"/>
      <c r="K1394" s="215"/>
      <c r="L1394" s="562"/>
      <c r="M1394" s="230"/>
      <c r="N1394" s="250"/>
      <c r="O1394" s="256"/>
      <c r="P1394" s="248"/>
      <c r="Q1394" s="506"/>
      <c r="R1394" s="255"/>
      <c r="S1394" s="245"/>
      <c r="T1394" s="246"/>
      <c r="U1394" s="170"/>
    </row>
    <row r="1395" spans="1:21" ht="15.75" hidden="1" outlineLevel="3">
      <c r="A1395" s="162"/>
      <c r="B1395" s="152"/>
      <c r="C1395" s="151" t="s">
        <v>503</v>
      </c>
      <c r="D1395" s="339"/>
      <c r="E1395" s="164"/>
      <c r="F1395" s="165"/>
      <c r="G1395" s="172"/>
      <c r="H1395" s="164"/>
      <c r="I1395" s="164"/>
      <c r="J1395" s="164"/>
      <c r="K1395" s="223"/>
      <c r="L1395" s="234"/>
      <c r="M1395" s="202"/>
      <c r="N1395" s="250"/>
      <c r="O1395" s="203"/>
      <c r="P1395" s="248"/>
      <c r="Q1395" s="201"/>
      <c r="R1395" s="255"/>
      <c r="S1395" s="226"/>
      <c r="T1395" s="235"/>
      <c r="U1395" s="170"/>
    </row>
    <row r="1396" spans="1:21" ht="15.75" hidden="1" outlineLevel="3">
      <c r="A1396" s="162"/>
      <c r="B1396" s="152"/>
      <c r="C1396" s="236" t="s">
        <v>520</v>
      </c>
      <c r="D1396" s="344"/>
      <c r="E1396" s="164"/>
      <c r="F1396" s="165"/>
      <c r="G1396" s="172"/>
      <c r="H1396" s="164"/>
      <c r="I1396" s="164"/>
      <c r="J1396" s="164"/>
      <c r="K1396" s="223"/>
      <c r="L1396" s="234"/>
      <c r="M1396" s="202"/>
      <c r="N1396" s="250"/>
      <c r="O1396" s="203"/>
      <c r="P1396" s="248"/>
      <c r="Q1396" s="201"/>
      <c r="R1396" s="255"/>
      <c r="S1396" s="226"/>
      <c r="T1396" s="235"/>
      <c r="U1396" s="170"/>
    </row>
    <row r="1397" spans="1:21" ht="15.75" hidden="1" outlineLevel="3">
      <c r="A1397" s="162"/>
      <c r="B1397" s="152"/>
      <c r="C1397" s="236" t="s">
        <v>478</v>
      </c>
      <c r="D1397" s="344"/>
      <c r="E1397" s="164"/>
      <c r="F1397" s="165"/>
      <c r="G1397" s="172"/>
      <c r="H1397" s="164"/>
      <c r="I1397" s="164"/>
      <c r="J1397" s="164"/>
      <c r="K1397" s="223"/>
      <c r="L1397" s="234"/>
      <c r="M1397" s="202"/>
      <c r="N1397" s="250"/>
      <c r="O1397" s="203"/>
      <c r="P1397" s="248"/>
      <c r="Q1397" s="201"/>
      <c r="R1397" s="255"/>
      <c r="S1397" s="226"/>
      <c r="T1397" s="235"/>
      <c r="U1397" s="170"/>
    </row>
    <row r="1398" spans="1:21" ht="15.75" hidden="1" outlineLevel="3">
      <c r="A1398" s="162"/>
      <c r="B1398" s="152"/>
      <c r="C1398" s="236" t="s">
        <v>479</v>
      </c>
      <c r="D1398" s="344"/>
      <c r="E1398" s="164"/>
      <c r="F1398" s="165"/>
      <c r="G1398" s="172"/>
      <c r="H1398" s="164"/>
      <c r="I1398" s="164"/>
      <c r="J1398" s="164"/>
      <c r="K1398" s="223"/>
      <c r="L1398" s="220"/>
      <c r="M1398" s="204"/>
      <c r="N1398" s="250"/>
      <c r="O1398" s="203"/>
      <c r="P1398" s="248"/>
      <c r="Q1398" s="201"/>
      <c r="R1398" s="255"/>
      <c r="S1398" s="226"/>
      <c r="T1398" s="235"/>
      <c r="U1398" s="170"/>
    </row>
    <row r="1399" spans="1:21" ht="15.75" hidden="1" outlineLevel="3">
      <c r="A1399" s="162"/>
      <c r="B1399" s="152"/>
      <c r="C1399" s="236" t="s">
        <v>480</v>
      </c>
      <c r="D1399" s="344"/>
      <c r="E1399" s="164"/>
      <c r="F1399" s="165"/>
      <c r="G1399" s="172"/>
      <c r="H1399" s="164"/>
      <c r="I1399" s="164"/>
      <c r="J1399" s="164"/>
      <c r="K1399" s="223"/>
      <c r="L1399" s="234"/>
      <c r="M1399" s="202"/>
      <c r="N1399" s="250"/>
      <c r="O1399" s="203"/>
      <c r="P1399" s="248"/>
      <c r="Q1399" s="201"/>
      <c r="R1399" s="255"/>
      <c r="S1399" s="226"/>
      <c r="T1399" s="235"/>
      <c r="U1399" s="170"/>
    </row>
    <row r="1400" spans="1:21" ht="15.75" hidden="1" outlineLevel="3">
      <c r="A1400" s="162"/>
      <c r="B1400" s="152"/>
      <c r="C1400" s="236" t="s">
        <v>512</v>
      </c>
      <c r="D1400" s="344"/>
      <c r="E1400" s="164"/>
      <c r="F1400" s="165"/>
      <c r="G1400" s="172"/>
      <c r="H1400" s="164"/>
      <c r="I1400" s="164"/>
      <c r="J1400" s="164"/>
      <c r="K1400" s="223"/>
      <c r="L1400" s="234"/>
      <c r="M1400" s="202"/>
      <c r="N1400" s="250"/>
      <c r="O1400" s="203"/>
      <c r="P1400" s="248"/>
      <c r="Q1400" s="201"/>
      <c r="R1400" s="255"/>
      <c r="S1400" s="226"/>
      <c r="T1400" s="235"/>
      <c r="U1400" s="170"/>
    </row>
    <row r="1401" spans="1:21" ht="15.75" hidden="1" outlineLevel="3">
      <c r="A1401" s="162"/>
      <c r="B1401" s="152"/>
      <c r="C1401" s="151" t="s">
        <v>504</v>
      </c>
      <c r="D1401" s="339"/>
      <c r="E1401" s="164"/>
      <c r="F1401" s="165"/>
      <c r="G1401" s="172"/>
      <c r="H1401" s="164"/>
      <c r="I1401" s="164"/>
      <c r="J1401" s="164"/>
      <c r="K1401" s="223"/>
      <c r="L1401" s="234"/>
      <c r="M1401" s="202"/>
      <c r="N1401" s="250"/>
      <c r="O1401" s="203"/>
      <c r="P1401" s="248"/>
      <c r="Q1401" s="201"/>
      <c r="R1401" s="255"/>
      <c r="S1401" s="226"/>
      <c r="T1401" s="235"/>
      <c r="U1401" s="170"/>
    </row>
    <row r="1402" spans="1:21" ht="15.75" hidden="1" outlineLevel="3">
      <c r="A1402" s="162"/>
      <c r="B1402" s="152"/>
      <c r="C1402" s="236" t="s">
        <v>483</v>
      </c>
      <c r="D1402" s="344"/>
      <c r="E1402" s="164"/>
      <c r="F1402" s="165"/>
      <c r="G1402" s="172"/>
      <c r="H1402" s="164"/>
      <c r="I1402" s="164"/>
      <c r="J1402" s="164"/>
      <c r="K1402" s="223"/>
      <c r="L1402" s="234"/>
      <c r="M1402" s="202"/>
      <c r="N1402" s="250"/>
      <c r="O1402" s="203"/>
      <c r="P1402" s="248"/>
      <c r="Q1402" s="201"/>
      <c r="R1402" s="255"/>
      <c r="S1402" s="226"/>
      <c r="T1402" s="235"/>
      <c r="U1402" s="170"/>
    </row>
    <row r="1403" spans="1:21" ht="15.75" hidden="1" outlineLevel="3">
      <c r="A1403" s="162"/>
      <c r="B1403" s="152"/>
      <c r="C1403" s="236" t="s">
        <v>484</v>
      </c>
      <c r="D1403" s="344"/>
      <c r="E1403" s="164"/>
      <c r="F1403" s="165"/>
      <c r="G1403" s="172"/>
      <c r="H1403" s="164"/>
      <c r="I1403" s="164"/>
      <c r="J1403" s="164"/>
      <c r="K1403" s="223"/>
      <c r="L1403" s="234"/>
      <c r="M1403" s="202"/>
      <c r="N1403" s="250"/>
      <c r="O1403" s="203"/>
      <c r="P1403" s="248"/>
      <c r="Q1403" s="201"/>
      <c r="R1403" s="255"/>
      <c r="S1403" s="226"/>
      <c r="T1403" s="235"/>
      <c r="U1403" s="170"/>
    </row>
    <row r="1404" spans="1:21" ht="15.75" hidden="1" outlineLevel="3">
      <c r="A1404" s="162"/>
      <c r="B1404" s="152"/>
      <c r="C1404" s="236" t="s">
        <v>479</v>
      </c>
      <c r="D1404" s="344"/>
      <c r="E1404" s="164"/>
      <c r="F1404" s="165"/>
      <c r="G1404" s="172"/>
      <c r="H1404" s="164"/>
      <c r="I1404" s="164"/>
      <c r="J1404" s="164"/>
      <c r="K1404" s="223"/>
      <c r="L1404" s="234"/>
      <c r="M1404" s="202"/>
      <c r="N1404" s="250"/>
      <c r="O1404" s="203"/>
      <c r="P1404" s="248"/>
      <c r="Q1404" s="201"/>
      <c r="R1404" s="255"/>
      <c r="S1404" s="226"/>
      <c r="T1404" s="235"/>
      <c r="U1404" s="170"/>
    </row>
    <row r="1405" spans="1:21" ht="15.75" hidden="1" outlineLevel="3">
      <c r="A1405" s="162"/>
      <c r="B1405" s="152"/>
      <c r="C1405" s="236" t="s">
        <v>485</v>
      </c>
      <c r="D1405" s="344"/>
      <c r="E1405" s="164"/>
      <c r="F1405" s="165"/>
      <c r="G1405" s="172"/>
      <c r="H1405" s="164"/>
      <c r="I1405" s="164"/>
      <c r="J1405" s="164"/>
      <c r="K1405" s="223"/>
      <c r="L1405" s="234"/>
      <c r="M1405" s="202"/>
      <c r="N1405" s="250"/>
      <c r="O1405" s="203"/>
      <c r="P1405" s="248"/>
      <c r="Q1405" s="201"/>
      <c r="R1405" s="255"/>
      <c r="S1405" s="226"/>
      <c r="T1405" s="235"/>
      <c r="U1405" s="170"/>
    </row>
    <row r="1406" spans="1:21" ht="15.75" hidden="1" outlineLevel="3">
      <c r="A1406" s="162"/>
      <c r="B1406" s="152"/>
      <c r="C1406" s="151" t="s">
        <v>505</v>
      </c>
      <c r="D1406" s="339"/>
      <c r="E1406" s="164"/>
      <c r="F1406" s="165"/>
      <c r="G1406" s="172"/>
      <c r="H1406" s="164"/>
      <c r="I1406" s="164"/>
      <c r="J1406" s="164"/>
      <c r="K1406" s="223"/>
      <c r="L1406" s="234"/>
      <c r="M1406" s="202"/>
      <c r="N1406" s="250"/>
      <c r="O1406" s="203"/>
      <c r="P1406" s="248"/>
      <c r="Q1406" s="201"/>
      <c r="R1406" s="255"/>
      <c r="S1406" s="226"/>
      <c r="T1406" s="235"/>
      <c r="U1406" s="170"/>
    </row>
    <row r="1407" spans="1:21" ht="15.75" hidden="1" outlineLevel="3">
      <c r="A1407" s="162"/>
      <c r="B1407" s="152"/>
      <c r="C1407" s="236" t="s">
        <v>487</v>
      </c>
      <c r="D1407" s="344"/>
      <c r="E1407" s="164"/>
      <c r="F1407" s="165"/>
      <c r="G1407" s="172"/>
      <c r="H1407" s="164"/>
      <c r="I1407" s="164"/>
      <c r="J1407" s="164"/>
      <c r="K1407" s="223"/>
      <c r="L1407" s="234"/>
      <c r="M1407" s="202"/>
      <c r="N1407" s="250"/>
      <c r="O1407" s="203"/>
      <c r="P1407" s="248"/>
      <c r="Q1407" s="201"/>
      <c r="R1407" s="255"/>
      <c r="S1407" s="226"/>
      <c r="T1407" s="235"/>
      <c r="U1407" s="170"/>
    </row>
    <row r="1408" spans="1:21" ht="15.75" hidden="1" outlineLevel="3">
      <c r="A1408" s="162"/>
      <c r="B1408" s="152"/>
      <c r="C1408" s="236" t="s">
        <v>479</v>
      </c>
      <c r="D1408" s="344"/>
      <c r="E1408" s="164"/>
      <c r="F1408" s="165"/>
      <c r="G1408" s="172"/>
      <c r="H1408" s="164"/>
      <c r="I1408" s="164"/>
      <c r="J1408" s="164"/>
      <c r="K1408" s="223"/>
      <c r="L1408" s="234"/>
      <c r="M1408" s="202"/>
      <c r="N1408" s="250"/>
      <c r="O1408" s="203"/>
      <c r="P1408" s="248"/>
      <c r="Q1408" s="201"/>
      <c r="R1408" s="255"/>
      <c r="S1408" s="226"/>
      <c r="T1408" s="235"/>
      <c r="U1408" s="170"/>
    </row>
    <row r="1409" spans="1:21" ht="15.75" hidden="1" outlineLevel="3">
      <c r="A1409" s="162"/>
      <c r="B1409" s="152"/>
      <c r="C1409" s="236" t="s">
        <v>488</v>
      </c>
      <c r="D1409" s="344"/>
      <c r="E1409" s="164"/>
      <c r="F1409" s="165"/>
      <c r="G1409" s="172"/>
      <c r="H1409" s="164"/>
      <c r="I1409" s="164"/>
      <c r="J1409" s="164"/>
      <c r="K1409" s="223"/>
      <c r="L1409" s="234"/>
      <c r="M1409" s="202"/>
      <c r="N1409" s="250"/>
      <c r="O1409" s="203"/>
      <c r="P1409" s="248"/>
      <c r="Q1409" s="201"/>
      <c r="R1409" s="255"/>
      <c r="S1409" s="226"/>
      <c r="T1409" s="235"/>
      <c r="U1409" s="170"/>
    </row>
    <row r="1410" spans="1:21" ht="15.75" hidden="1" outlineLevel="3">
      <c r="A1410" s="162"/>
      <c r="B1410" s="152"/>
      <c r="C1410" s="236" t="s">
        <v>489</v>
      </c>
      <c r="D1410" s="344"/>
      <c r="E1410" s="164"/>
      <c r="F1410" s="165"/>
      <c r="G1410" s="172"/>
      <c r="H1410" s="164"/>
      <c r="I1410" s="164"/>
      <c r="J1410" s="164"/>
      <c r="K1410" s="223"/>
      <c r="L1410" s="234"/>
      <c r="M1410" s="202"/>
      <c r="N1410" s="250"/>
      <c r="O1410" s="203"/>
      <c r="P1410" s="248"/>
      <c r="Q1410" s="201"/>
      <c r="R1410" s="255"/>
      <c r="S1410" s="159"/>
      <c r="T1410" s="235"/>
      <c r="U1410" s="170"/>
    </row>
    <row r="1411" spans="1:21" ht="15.75" hidden="1" outlineLevel="3">
      <c r="A1411" s="162"/>
      <c r="B1411" s="152"/>
      <c r="C1411" s="151" t="s">
        <v>506</v>
      </c>
      <c r="D1411" s="339"/>
      <c r="E1411" s="164"/>
      <c r="F1411" s="165"/>
      <c r="G1411" s="172"/>
      <c r="H1411" s="164"/>
      <c r="I1411" s="164"/>
      <c r="J1411" s="164"/>
      <c r="K1411" s="223"/>
      <c r="L1411" s="234"/>
      <c r="M1411" s="202"/>
      <c r="N1411" s="250"/>
      <c r="O1411" s="203"/>
      <c r="P1411" s="248"/>
      <c r="Q1411" s="201"/>
      <c r="R1411" s="255"/>
      <c r="S1411" s="226"/>
      <c r="T1411" s="235"/>
      <c r="U1411" s="170"/>
    </row>
    <row r="1412" spans="1:21" ht="15.75" hidden="1" outlineLevel="3">
      <c r="A1412" s="162"/>
      <c r="B1412" s="152"/>
      <c r="C1412" s="236" t="s">
        <v>491</v>
      </c>
      <c r="D1412" s="344"/>
      <c r="E1412" s="164"/>
      <c r="F1412" s="165"/>
      <c r="G1412" s="172"/>
      <c r="H1412" s="164"/>
      <c r="I1412" s="164"/>
      <c r="J1412" s="164"/>
      <c r="K1412" s="223"/>
      <c r="L1412" s="234"/>
      <c r="M1412" s="202">
        <v>743000</v>
      </c>
      <c r="N1412" s="250">
        <f>M1412*1.23</f>
        <v>913890</v>
      </c>
      <c r="O1412" s="203"/>
      <c r="P1412" s="248"/>
      <c r="Q1412" s="201"/>
      <c r="R1412" s="255"/>
      <c r="S1412" s="159">
        <f t="shared" ref="S1412" si="89">SUM(L1412,N1412,P1412,R1412)</f>
        <v>913890</v>
      </c>
      <c r="T1412" s="247"/>
      <c r="U1412" s="170" t="s">
        <v>1304</v>
      </c>
    </row>
    <row r="1413" spans="1:21" ht="15.75" hidden="1" outlineLevel="3">
      <c r="A1413" s="162"/>
      <c r="B1413" s="152"/>
      <c r="C1413" s="236" t="s">
        <v>492</v>
      </c>
      <c r="D1413" s="344"/>
      <c r="E1413" s="164"/>
      <c r="F1413" s="165"/>
      <c r="G1413" s="172"/>
      <c r="H1413" s="164"/>
      <c r="I1413" s="164"/>
      <c r="J1413" s="164"/>
      <c r="K1413" s="223"/>
      <c r="L1413" s="234"/>
      <c r="M1413" s="202"/>
      <c r="N1413" s="250"/>
      <c r="O1413" s="203"/>
      <c r="P1413" s="248"/>
      <c r="Q1413" s="201"/>
      <c r="R1413" s="255"/>
      <c r="S1413" s="226"/>
      <c r="T1413" s="235"/>
      <c r="U1413" s="170"/>
    </row>
    <row r="1414" spans="1:21" ht="15.75" hidden="1" outlineLevel="3">
      <c r="A1414" s="162"/>
      <c r="B1414" s="152"/>
      <c r="C1414" s="236" t="s">
        <v>493</v>
      </c>
      <c r="D1414" s="344"/>
      <c r="E1414" s="164"/>
      <c r="F1414" s="165"/>
      <c r="G1414" s="172"/>
      <c r="H1414" s="164"/>
      <c r="I1414" s="164"/>
      <c r="J1414" s="164"/>
      <c r="K1414" s="223"/>
      <c r="L1414" s="234"/>
      <c r="M1414" s="202"/>
      <c r="N1414" s="250"/>
      <c r="O1414" s="203"/>
      <c r="P1414" s="248"/>
      <c r="Q1414" s="201"/>
      <c r="R1414" s="255"/>
      <c r="S1414" s="226"/>
      <c r="T1414" s="235"/>
      <c r="U1414" s="170"/>
    </row>
    <row r="1415" spans="1:21" ht="15.75" hidden="1" outlineLevel="3">
      <c r="A1415" s="162"/>
      <c r="B1415" s="152"/>
      <c r="C1415" s="236" t="s">
        <v>494</v>
      </c>
      <c r="D1415" s="344"/>
      <c r="E1415" s="164"/>
      <c r="F1415" s="165"/>
      <c r="G1415" s="172"/>
      <c r="H1415" s="164"/>
      <c r="I1415" s="164"/>
      <c r="J1415" s="164"/>
      <c r="K1415" s="223"/>
      <c r="L1415" s="234"/>
      <c r="M1415" s="202"/>
      <c r="N1415" s="250"/>
      <c r="O1415" s="203"/>
      <c r="P1415" s="248"/>
      <c r="Q1415" s="201"/>
      <c r="R1415" s="255"/>
      <c r="S1415" s="226"/>
      <c r="T1415" s="235"/>
      <c r="U1415" s="161"/>
    </row>
    <row r="1416" spans="1:21" ht="15.75" hidden="1" outlineLevel="3">
      <c r="A1416" s="162"/>
      <c r="B1416" s="152"/>
      <c r="C1416" s="151" t="s">
        <v>507</v>
      </c>
      <c r="D1416" s="339"/>
      <c r="E1416" s="164"/>
      <c r="F1416" s="165"/>
      <c r="G1416" s="172"/>
      <c r="H1416" s="164"/>
      <c r="I1416" s="164"/>
      <c r="J1416" s="164"/>
      <c r="K1416" s="223"/>
      <c r="L1416" s="234"/>
      <c r="M1416" s="202"/>
      <c r="N1416" s="250"/>
      <c r="O1416" s="203"/>
      <c r="P1416" s="248"/>
      <c r="Q1416" s="201"/>
      <c r="R1416" s="255"/>
      <c r="S1416" s="226"/>
      <c r="T1416" s="235"/>
      <c r="U1416" s="170"/>
    </row>
    <row r="1417" spans="1:21" ht="15.75" hidden="1" outlineLevel="3">
      <c r="A1417" s="162"/>
      <c r="B1417" s="152"/>
      <c r="C1417" s="174" t="s">
        <v>496</v>
      </c>
      <c r="D1417" s="340"/>
      <c r="E1417" s="164"/>
      <c r="F1417" s="165"/>
      <c r="G1417" s="172"/>
      <c r="H1417" s="164"/>
      <c r="I1417" s="164"/>
      <c r="J1417" s="164"/>
      <c r="K1417" s="223"/>
      <c r="L1417" s="234"/>
      <c r="M1417" s="202"/>
      <c r="N1417" s="250"/>
      <c r="O1417" s="203"/>
      <c r="P1417" s="248"/>
      <c r="Q1417" s="201"/>
      <c r="R1417" s="255"/>
      <c r="S1417" s="226"/>
      <c r="T1417" s="235"/>
      <c r="U1417" s="170"/>
    </row>
    <row r="1418" spans="1:21" ht="15.75" hidden="1" outlineLevel="3">
      <c r="A1418" s="162"/>
      <c r="B1418" s="152"/>
      <c r="C1418" s="174" t="s">
        <v>497</v>
      </c>
      <c r="D1418" s="340"/>
      <c r="E1418" s="164"/>
      <c r="F1418" s="165"/>
      <c r="G1418" s="172"/>
      <c r="H1418" s="164"/>
      <c r="I1418" s="164"/>
      <c r="J1418" s="164"/>
      <c r="K1418" s="223"/>
      <c r="L1418" s="234"/>
      <c r="M1418" s="202"/>
      <c r="N1418" s="250"/>
      <c r="O1418" s="203"/>
      <c r="P1418" s="248"/>
      <c r="Q1418" s="201"/>
      <c r="R1418" s="255"/>
      <c r="S1418" s="226"/>
      <c r="T1418" s="235"/>
      <c r="U1418" s="170"/>
    </row>
    <row r="1419" spans="1:21" ht="15.75" hidden="1" outlineLevel="3">
      <c r="A1419" s="162"/>
      <c r="B1419" s="152"/>
      <c r="C1419" s="174" t="s">
        <v>499</v>
      </c>
      <c r="D1419" s="340"/>
      <c r="E1419" s="164"/>
      <c r="F1419" s="165"/>
      <c r="G1419" s="172"/>
      <c r="H1419" s="164"/>
      <c r="I1419" s="164"/>
      <c r="J1419" s="164"/>
      <c r="K1419" s="223"/>
      <c r="L1419" s="234"/>
      <c r="M1419" s="202"/>
      <c r="N1419" s="250"/>
      <c r="O1419" s="203"/>
      <c r="P1419" s="248"/>
      <c r="Q1419" s="201"/>
      <c r="R1419" s="255"/>
      <c r="S1419" s="226"/>
      <c r="T1419" s="235"/>
      <c r="U1419" s="170"/>
    </row>
    <row r="1420" spans="1:21" ht="15.75" hidden="1" outlineLevel="3">
      <c r="A1420" s="162"/>
      <c r="B1420" s="152"/>
      <c r="C1420" s="174" t="s">
        <v>379</v>
      </c>
      <c r="D1420" s="340"/>
      <c r="E1420" s="164"/>
      <c r="F1420" s="165"/>
      <c r="G1420" s="172"/>
      <c r="H1420" s="164"/>
      <c r="I1420" s="164"/>
      <c r="J1420" s="164"/>
      <c r="K1420" s="223"/>
      <c r="L1420" s="234"/>
      <c r="M1420" s="202">
        <v>500000</v>
      </c>
      <c r="N1420" s="250">
        <f t="shared" ref="N1420:N1421" si="90">M1420*1.23</f>
        <v>615000</v>
      </c>
      <c r="O1420" s="203"/>
      <c r="P1420" s="248"/>
      <c r="Q1420" s="201"/>
      <c r="R1420" s="255"/>
      <c r="S1420" s="159">
        <f t="shared" ref="S1420:S1421" si="91">SUM(L1420,N1420,P1420,R1420)</f>
        <v>615000</v>
      </c>
      <c r="T1420" s="235"/>
      <c r="U1420" s="161" t="s">
        <v>665</v>
      </c>
    </row>
    <row r="1421" spans="1:21" ht="15.75" hidden="1" outlineLevel="2" collapsed="1">
      <c r="A1421" s="162"/>
      <c r="B1421" s="152"/>
      <c r="C1421" s="151" t="s">
        <v>664</v>
      </c>
      <c r="D1421" s="339"/>
      <c r="E1421" s="164"/>
      <c r="F1421" s="165"/>
      <c r="G1421" s="249"/>
      <c r="H1421" s="244"/>
      <c r="I1421" s="244"/>
      <c r="J1421" s="244"/>
      <c r="K1421" s="255"/>
      <c r="L1421" s="226"/>
      <c r="M1421" s="202">
        <f>SUM(M1396:M1420)</f>
        <v>1243000</v>
      </c>
      <c r="N1421" s="244">
        <f t="shared" si="90"/>
        <v>1528890</v>
      </c>
      <c r="O1421" s="203"/>
      <c r="P1421" s="244"/>
      <c r="Q1421" s="201"/>
      <c r="R1421" s="255"/>
      <c r="S1421" s="159">
        <f t="shared" si="91"/>
        <v>1528890</v>
      </c>
      <c r="T1421" s="235"/>
      <c r="U1421" s="161" t="s">
        <v>666</v>
      </c>
    </row>
    <row r="1422" spans="1:21" s="233" customFormat="1" hidden="1" outlineLevel="3">
      <c r="A1422" s="232"/>
      <c r="B1422" s="151" t="s">
        <v>667</v>
      </c>
      <c r="C1422" s="171"/>
      <c r="D1422" s="343"/>
      <c r="E1422" s="157"/>
      <c r="F1422" s="158"/>
      <c r="G1422" s="197"/>
      <c r="H1422" s="157"/>
      <c r="I1422" s="157"/>
      <c r="J1422" s="157"/>
      <c r="K1422" s="215"/>
      <c r="L1422" s="155"/>
      <c r="M1422" s="156"/>
      <c r="N1422" s="250"/>
      <c r="O1422" s="157"/>
      <c r="P1422" s="248"/>
      <c r="Q1422" s="158"/>
      <c r="R1422" s="255"/>
      <c r="S1422" s="159"/>
      <c r="T1422" s="225"/>
      <c r="U1422" s="170"/>
    </row>
    <row r="1423" spans="1:21" ht="15.75" hidden="1" outlineLevel="3">
      <c r="A1423" s="162"/>
      <c r="B1423" s="152"/>
      <c r="C1423" s="151" t="s">
        <v>503</v>
      </c>
      <c r="D1423" s="339"/>
      <c r="E1423" s="164"/>
      <c r="F1423" s="165"/>
      <c r="G1423" s="172"/>
      <c r="H1423" s="164"/>
      <c r="I1423" s="164"/>
      <c r="J1423" s="164"/>
      <c r="K1423" s="223"/>
      <c r="L1423" s="234"/>
      <c r="M1423" s="202"/>
      <c r="N1423" s="250"/>
      <c r="O1423" s="203"/>
      <c r="P1423" s="248"/>
      <c r="Q1423" s="201"/>
      <c r="R1423" s="255"/>
      <c r="S1423" s="226"/>
      <c r="T1423" s="235"/>
      <c r="U1423" s="170"/>
    </row>
    <row r="1424" spans="1:21" ht="15.75" hidden="1" outlineLevel="3">
      <c r="A1424" s="162"/>
      <c r="B1424" s="152"/>
      <c r="C1424" s="236" t="s">
        <v>520</v>
      </c>
      <c r="D1424" s="344"/>
      <c r="E1424" s="164"/>
      <c r="F1424" s="165"/>
      <c r="G1424" s="172"/>
      <c r="H1424" s="164"/>
      <c r="I1424" s="164"/>
      <c r="J1424" s="164"/>
      <c r="K1424" s="223"/>
      <c r="L1424" s="234"/>
      <c r="M1424" s="202">
        <v>169000</v>
      </c>
      <c r="N1424" s="250">
        <f>M1424*1.23</f>
        <v>207870</v>
      </c>
      <c r="O1424" s="171"/>
      <c r="P1424" s="248"/>
      <c r="Q1424" s="201"/>
      <c r="R1424" s="255"/>
      <c r="S1424" s="159">
        <f t="shared" ref="S1424" si="92">SUM(L1424,N1424,P1424,R1424)</f>
        <v>207870</v>
      </c>
      <c r="T1424" s="235"/>
      <c r="U1424" s="170"/>
    </row>
    <row r="1425" spans="1:21" ht="15.75" hidden="1" outlineLevel="3">
      <c r="A1425" s="162"/>
      <c r="B1425" s="152"/>
      <c r="C1425" s="236" t="s">
        <v>478</v>
      </c>
      <c r="D1425" s="344"/>
      <c r="E1425" s="164"/>
      <c r="F1425" s="165"/>
      <c r="G1425" s="172"/>
      <c r="H1425" s="164"/>
      <c r="I1425" s="164"/>
      <c r="J1425" s="164"/>
      <c r="K1425" s="223"/>
      <c r="L1425" s="234"/>
      <c r="M1425" s="202"/>
      <c r="N1425" s="250"/>
      <c r="O1425" s="203"/>
      <c r="P1425" s="248"/>
      <c r="Q1425" s="201"/>
      <c r="R1425" s="255"/>
      <c r="S1425" s="226"/>
      <c r="T1425" s="235"/>
      <c r="U1425" s="170"/>
    </row>
    <row r="1426" spans="1:21" ht="15.75" hidden="1" outlineLevel="3">
      <c r="A1426" s="162"/>
      <c r="B1426" s="152"/>
      <c r="C1426" s="236" t="s">
        <v>479</v>
      </c>
      <c r="D1426" s="344"/>
      <c r="E1426" s="164"/>
      <c r="F1426" s="165"/>
      <c r="G1426" s="172"/>
      <c r="H1426" s="164"/>
      <c r="I1426" s="164"/>
      <c r="J1426" s="164"/>
      <c r="K1426" s="223"/>
      <c r="L1426" s="220"/>
      <c r="M1426" s="204"/>
      <c r="N1426" s="250"/>
      <c r="O1426" s="203"/>
      <c r="P1426" s="248"/>
      <c r="Q1426" s="201"/>
      <c r="R1426" s="255"/>
      <c r="S1426" s="226"/>
      <c r="T1426" s="235"/>
      <c r="U1426" s="170"/>
    </row>
    <row r="1427" spans="1:21" ht="15.75" hidden="1" outlineLevel="3">
      <c r="A1427" s="162"/>
      <c r="B1427" s="152"/>
      <c r="C1427" s="236" t="s">
        <v>480</v>
      </c>
      <c r="D1427" s="344"/>
      <c r="E1427" s="164"/>
      <c r="F1427" s="165"/>
      <c r="G1427" s="172"/>
      <c r="H1427" s="164"/>
      <c r="I1427" s="164"/>
      <c r="J1427" s="164"/>
      <c r="K1427" s="223"/>
      <c r="L1427" s="234"/>
      <c r="M1427" s="202"/>
      <c r="N1427" s="250"/>
      <c r="O1427" s="203"/>
      <c r="P1427" s="248"/>
      <c r="Q1427" s="201"/>
      <c r="R1427" s="255"/>
      <c r="S1427" s="226"/>
      <c r="T1427" s="235"/>
      <c r="U1427" s="170"/>
    </row>
    <row r="1428" spans="1:21" ht="15.75" hidden="1" outlineLevel="3">
      <c r="A1428" s="162"/>
      <c r="B1428" s="152"/>
      <c r="C1428" s="236" t="s">
        <v>512</v>
      </c>
      <c r="D1428" s="344"/>
      <c r="E1428" s="164"/>
      <c r="F1428" s="165"/>
      <c r="G1428" s="172"/>
      <c r="H1428" s="164"/>
      <c r="I1428" s="164"/>
      <c r="J1428" s="164"/>
      <c r="K1428" s="223"/>
      <c r="L1428" s="234"/>
      <c r="M1428" s="202"/>
      <c r="N1428" s="250"/>
      <c r="O1428" s="203"/>
      <c r="P1428" s="248"/>
      <c r="Q1428" s="201"/>
      <c r="R1428" s="255"/>
      <c r="S1428" s="226"/>
      <c r="T1428" s="235"/>
      <c r="U1428" s="170"/>
    </row>
    <row r="1429" spans="1:21" ht="15.75" hidden="1" outlineLevel="3">
      <c r="A1429" s="162"/>
      <c r="B1429" s="152"/>
      <c r="C1429" s="151" t="s">
        <v>504</v>
      </c>
      <c r="D1429" s="339"/>
      <c r="E1429" s="164"/>
      <c r="F1429" s="165"/>
      <c r="G1429" s="172"/>
      <c r="H1429" s="164"/>
      <c r="I1429" s="164"/>
      <c r="J1429" s="164"/>
      <c r="K1429" s="223"/>
      <c r="L1429" s="234"/>
      <c r="M1429" s="202"/>
      <c r="N1429" s="250"/>
      <c r="O1429" s="203"/>
      <c r="P1429" s="248"/>
      <c r="Q1429" s="201"/>
      <c r="R1429" s="255"/>
      <c r="S1429" s="226"/>
      <c r="T1429" s="235"/>
      <c r="U1429" s="170"/>
    </row>
    <row r="1430" spans="1:21" ht="15.75" hidden="1" outlineLevel="3">
      <c r="A1430" s="162"/>
      <c r="B1430" s="152"/>
      <c r="C1430" s="236" t="s">
        <v>483</v>
      </c>
      <c r="D1430" s="344"/>
      <c r="E1430" s="164"/>
      <c r="F1430" s="165"/>
      <c r="G1430" s="172"/>
      <c r="H1430" s="164"/>
      <c r="I1430" s="164"/>
      <c r="J1430" s="164"/>
      <c r="K1430" s="223"/>
      <c r="L1430" s="234"/>
      <c r="M1430" s="202"/>
      <c r="N1430" s="250"/>
      <c r="O1430" s="203"/>
      <c r="P1430" s="248"/>
      <c r="Q1430" s="201"/>
      <c r="R1430" s="255"/>
      <c r="S1430" s="226"/>
      <c r="T1430" s="235"/>
      <c r="U1430" s="170"/>
    </row>
    <row r="1431" spans="1:21" ht="15.75" hidden="1" outlineLevel="3">
      <c r="A1431" s="162"/>
      <c r="B1431" s="152"/>
      <c r="C1431" s="236" t="s">
        <v>484</v>
      </c>
      <c r="D1431" s="344"/>
      <c r="E1431" s="164"/>
      <c r="F1431" s="165"/>
      <c r="G1431" s="172"/>
      <c r="H1431" s="164"/>
      <c r="I1431" s="164"/>
      <c r="J1431" s="164"/>
      <c r="K1431" s="223"/>
      <c r="L1431" s="234"/>
      <c r="M1431" s="202"/>
      <c r="N1431" s="250"/>
      <c r="O1431" s="203"/>
      <c r="P1431" s="248"/>
      <c r="Q1431" s="201"/>
      <c r="R1431" s="255"/>
      <c r="S1431" s="226"/>
      <c r="T1431" s="235"/>
      <c r="U1431" s="170"/>
    </row>
    <row r="1432" spans="1:21" ht="15.75" hidden="1" outlineLevel="3">
      <c r="A1432" s="162"/>
      <c r="B1432" s="152"/>
      <c r="C1432" s="236" t="s">
        <v>479</v>
      </c>
      <c r="D1432" s="344"/>
      <c r="E1432" s="164"/>
      <c r="F1432" s="165"/>
      <c r="G1432" s="172"/>
      <c r="H1432" s="164"/>
      <c r="I1432" s="164"/>
      <c r="J1432" s="164"/>
      <c r="K1432" s="223"/>
      <c r="L1432" s="234"/>
      <c r="M1432" s="202"/>
      <c r="N1432" s="250"/>
      <c r="O1432" s="203"/>
      <c r="P1432" s="248"/>
      <c r="Q1432" s="201"/>
      <c r="R1432" s="255"/>
      <c r="S1432" s="226"/>
      <c r="T1432" s="235"/>
      <c r="U1432" s="170"/>
    </row>
    <row r="1433" spans="1:21" ht="15.75" hidden="1" outlineLevel="3">
      <c r="A1433" s="162"/>
      <c r="B1433" s="152"/>
      <c r="C1433" s="236" t="s">
        <v>485</v>
      </c>
      <c r="D1433" s="344"/>
      <c r="E1433" s="164"/>
      <c r="F1433" s="165"/>
      <c r="G1433" s="172"/>
      <c r="H1433" s="164"/>
      <c r="I1433" s="164"/>
      <c r="J1433" s="164"/>
      <c r="K1433" s="223"/>
      <c r="L1433" s="234"/>
      <c r="M1433" s="202"/>
      <c r="N1433" s="250"/>
      <c r="O1433" s="203"/>
      <c r="P1433" s="248"/>
      <c r="Q1433" s="201"/>
      <c r="R1433" s="255"/>
      <c r="S1433" s="226"/>
      <c r="T1433" s="235"/>
      <c r="U1433" s="170"/>
    </row>
    <row r="1434" spans="1:21" ht="15.75" hidden="1" outlineLevel="3">
      <c r="A1434" s="162"/>
      <c r="B1434" s="152"/>
      <c r="C1434" s="151" t="s">
        <v>505</v>
      </c>
      <c r="D1434" s="339"/>
      <c r="E1434" s="164"/>
      <c r="F1434" s="165"/>
      <c r="G1434" s="172"/>
      <c r="H1434" s="164"/>
      <c r="I1434" s="164"/>
      <c r="J1434" s="164"/>
      <c r="K1434" s="223"/>
      <c r="L1434" s="234"/>
      <c r="M1434" s="202"/>
      <c r="N1434" s="250"/>
      <c r="O1434" s="203"/>
      <c r="P1434" s="248"/>
      <c r="Q1434" s="201"/>
      <c r="R1434" s="255"/>
      <c r="S1434" s="226"/>
      <c r="T1434" s="235"/>
      <c r="U1434" s="170"/>
    </row>
    <row r="1435" spans="1:21" ht="15.75" hidden="1" outlineLevel="3">
      <c r="A1435" s="162"/>
      <c r="B1435" s="152"/>
      <c r="C1435" s="236" t="s">
        <v>487</v>
      </c>
      <c r="D1435" s="344"/>
      <c r="E1435" s="164"/>
      <c r="F1435" s="165"/>
      <c r="G1435" s="172"/>
      <c r="H1435" s="164"/>
      <c r="I1435" s="164"/>
      <c r="J1435" s="164"/>
      <c r="K1435" s="223"/>
      <c r="L1435" s="234"/>
      <c r="M1435" s="202"/>
      <c r="N1435" s="250"/>
      <c r="O1435" s="203"/>
      <c r="P1435" s="248"/>
      <c r="Q1435" s="201"/>
      <c r="R1435" s="255"/>
      <c r="S1435" s="226"/>
      <c r="T1435" s="235"/>
      <c r="U1435" s="170"/>
    </row>
    <row r="1436" spans="1:21" ht="15.75" hidden="1" outlineLevel="3">
      <c r="A1436" s="162"/>
      <c r="B1436" s="152"/>
      <c r="C1436" s="236" t="s">
        <v>479</v>
      </c>
      <c r="D1436" s="344"/>
      <c r="E1436" s="164"/>
      <c r="F1436" s="165"/>
      <c r="G1436" s="172"/>
      <c r="H1436" s="164"/>
      <c r="I1436" s="164"/>
      <c r="J1436" s="164"/>
      <c r="K1436" s="223"/>
      <c r="L1436" s="234"/>
      <c r="M1436" s="202"/>
      <c r="N1436" s="250"/>
      <c r="O1436" s="203"/>
      <c r="P1436" s="248"/>
      <c r="Q1436" s="201"/>
      <c r="R1436" s="255"/>
      <c r="S1436" s="226"/>
      <c r="T1436" s="235"/>
      <c r="U1436" s="170"/>
    </row>
    <row r="1437" spans="1:21" ht="15.75" hidden="1" outlineLevel="3">
      <c r="A1437" s="162"/>
      <c r="B1437" s="152"/>
      <c r="C1437" s="236" t="s">
        <v>488</v>
      </c>
      <c r="D1437" s="344"/>
      <c r="E1437" s="164"/>
      <c r="F1437" s="165"/>
      <c r="G1437" s="172"/>
      <c r="H1437" s="164"/>
      <c r="I1437" s="164"/>
      <c r="J1437" s="164"/>
      <c r="K1437" s="223"/>
      <c r="L1437" s="234"/>
      <c r="M1437" s="202"/>
      <c r="N1437" s="250"/>
      <c r="O1437" s="203"/>
      <c r="P1437" s="248"/>
      <c r="Q1437" s="201"/>
      <c r="R1437" s="255"/>
      <c r="S1437" s="226"/>
      <c r="T1437" s="235"/>
      <c r="U1437" s="170"/>
    </row>
    <row r="1438" spans="1:21" ht="15.75" hidden="1" outlineLevel="3">
      <c r="A1438" s="162"/>
      <c r="B1438" s="152"/>
      <c r="C1438" s="236" t="s">
        <v>489</v>
      </c>
      <c r="D1438" s="344"/>
      <c r="E1438" s="164"/>
      <c r="F1438" s="165"/>
      <c r="G1438" s="172"/>
      <c r="H1438" s="164"/>
      <c r="I1438" s="164"/>
      <c r="J1438" s="164"/>
      <c r="K1438" s="223"/>
      <c r="L1438" s="234"/>
      <c r="M1438" s="202"/>
      <c r="N1438" s="250"/>
      <c r="O1438" s="203"/>
      <c r="P1438" s="248"/>
      <c r="Q1438" s="171"/>
      <c r="R1438" s="255"/>
      <c r="S1438" s="159">
        <f t="shared" ref="S1438:S1449" si="93">SUM(L1438,N1438,P1438,R1438)</f>
        <v>0</v>
      </c>
      <c r="T1438" s="235"/>
      <c r="U1438" s="170"/>
    </row>
    <row r="1439" spans="1:21" ht="15.75" hidden="1" outlineLevel="3">
      <c r="A1439" s="162"/>
      <c r="B1439" s="152"/>
      <c r="C1439" s="151" t="s">
        <v>506</v>
      </c>
      <c r="D1439" s="339"/>
      <c r="E1439" s="164"/>
      <c r="F1439" s="165"/>
      <c r="G1439" s="172"/>
      <c r="H1439" s="164"/>
      <c r="I1439" s="164"/>
      <c r="J1439" s="164"/>
      <c r="K1439" s="223"/>
      <c r="L1439" s="234"/>
      <c r="M1439" s="202"/>
      <c r="N1439" s="250"/>
      <c r="O1439" s="203"/>
      <c r="P1439" s="248"/>
      <c r="Q1439" s="201"/>
      <c r="R1439" s="255"/>
      <c r="S1439" s="159"/>
      <c r="T1439" s="235"/>
      <c r="U1439" s="170"/>
    </row>
    <row r="1440" spans="1:21" ht="15.75" hidden="1" outlineLevel="3">
      <c r="A1440" s="162"/>
      <c r="B1440" s="152"/>
      <c r="C1440" s="236" t="s">
        <v>491</v>
      </c>
      <c r="D1440" s="344"/>
      <c r="E1440" s="164"/>
      <c r="F1440" s="165"/>
      <c r="G1440" s="172"/>
      <c r="H1440" s="164"/>
      <c r="I1440" s="164"/>
      <c r="J1440" s="164"/>
      <c r="K1440" s="223"/>
      <c r="L1440" s="234"/>
      <c r="M1440" s="202">
        <v>123000</v>
      </c>
      <c r="N1440" s="250">
        <f>M1440*1.23</f>
        <v>151290</v>
      </c>
      <c r="O1440" s="171"/>
      <c r="P1440" s="248"/>
      <c r="Q1440" s="201"/>
      <c r="R1440" s="255"/>
      <c r="S1440" s="159">
        <f t="shared" si="93"/>
        <v>151290</v>
      </c>
      <c r="T1440" s="235"/>
      <c r="U1440" s="170"/>
    </row>
    <row r="1441" spans="1:21" ht="15.75" hidden="1" outlineLevel="3">
      <c r="A1441" s="162"/>
      <c r="B1441" s="152"/>
      <c r="C1441" s="236" t="s">
        <v>492</v>
      </c>
      <c r="D1441" s="344"/>
      <c r="E1441" s="164"/>
      <c r="F1441" s="165"/>
      <c r="G1441" s="172"/>
      <c r="H1441" s="164"/>
      <c r="I1441" s="164"/>
      <c r="J1441" s="164"/>
      <c r="K1441" s="223"/>
      <c r="L1441" s="234"/>
      <c r="M1441" s="202"/>
      <c r="N1441" s="250"/>
      <c r="O1441" s="256"/>
      <c r="P1441" s="248"/>
      <c r="Q1441" s="201">
        <v>80000</v>
      </c>
      <c r="R1441" s="255">
        <f>Q1441*1.73</f>
        <v>138400</v>
      </c>
      <c r="S1441" s="159">
        <f t="shared" si="93"/>
        <v>138400</v>
      </c>
      <c r="T1441" s="235"/>
      <c r="U1441" s="170"/>
    </row>
    <row r="1442" spans="1:21" ht="15.75" hidden="1" outlineLevel="3">
      <c r="A1442" s="162"/>
      <c r="B1442" s="152"/>
      <c r="C1442" s="236" t="s">
        <v>493</v>
      </c>
      <c r="D1442" s="344"/>
      <c r="E1442" s="164"/>
      <c r="F1442" s="165"/>
      <c r="G1442" s="172"/>
      <c r="H1442" s="164"/>
      <c r="I1442" s="164"/>
      <c r="J1442" s="164"/>
      <c r="K1442" s="223"/>
      <c r="L1442" s="234"/>
      <c r="M1442" s="202">
        <v>235000</v>
      </c>
      <c r="N1442" s="250">
        <f>M1442*1.23</f>
        <v>289050</v>
      </c>
      <c r="O1442" s="171"/>
      <c r="P1442" s="248"/>
      <c r="Q1442" s="201"/>
      <c r="R1442" s="255"/>
      <c r="S1442" s="159">
        <f t="shared" si="93"/>
        <v>289050</v>
      </c>
      <c r="T1442" s="235"/>
      <c r="U1442" s="170"/>
    </row>
    <row r="1443" spans="1:21" ht="15.75" hidden="1" outlineLevel="3">
      <c r="A1443" s="162"/>
      <c r="B1443" s="152"/>
      <c r="C1443" s="236" t="s">
        <v>494</v>
      </c>
      <c r="D1443" s="344"/>
      <c r="E1443" s="164"/>
      <c r="F1443" s="165"/>
      <c r="G1443" s="172"/>
      <c r="H1443" s="164"/>
      <c r="I1443" s="164"/>
      <c r="J1443" s="164"/>
      <c r="K1443" s="223"/>
      <c r="L1443" s="234"/>
      <c r="M1443" s="202"/>
      <c r="N1443" s="250"/>
      <c r="O1443" s="203"/>
      <c r="P1443" s="248"/>
      <c r="Q1443" s="201"/>
      <c r="R1443" s="255"/>
      <c r="S1443" s="159"/>
      <c r="T1443" s="235"/>
      <c r="U1443" s="161"/>
    </row>
    <row r="1444" spans="1:21" ht="15.75" hidden="1" outlineLevel="3">
      <c r="A1444" s="162"/>
      <c r="B1444" s="152"/>
      <c r="C1444" s="151" t="s">
        <v>507</v>
      </c>
      <c r="D1444" s="339"/>
      <c r="E1444" s="164"/>
      <c r="F1444" s="165"/>
      <c r="G1444" s="172"/>
      <c r="H1444" s="164"/>
      <c r="I1444" s="164"/>
      <c r="J1444" s="164"/>
      <c r="K1444" s="223"/>
      <c r="L1444" s="234"/>
      <c r="M1444" s="202"/>
      <c r="N1444" s="250"/>
      <c r="O1444" s="203"/>
      <c r="P1444" s="248"/>
      <c r="Q1444" s="201"/>
      <c r="R1444" s="255"/>
      <c r="S1444" s="159"/>
      <c r="T1444" s="235"/>
      <c r="U1444" s="170"/>
    </row>
    <row r="1445" spans="1:21" ht="15.75" hidden="1" outlineLevel="3">
      <c r="A1445" s="162"/>
      <c r="B1445" s="152"/>
      <c r="C1445" s="174" t="s">
        <v>496</v>
      </c>
      <c r="D1445" s="340"/>
      <c r="E1445" s="164"/>
      <c r="F1445" s="165"/>
      <c r="G1445" s="172"/>
      <c r="H1445" s="164"/>
      <c r="I1445" s="164"/>
      <c r="J1445" s="164"/>
      <c r="K1445" s="223"/>
      <c r="L1445" s="234"/>
      <c r="M1445" s="202"/>
      <c r="N1445" s="250"/>
      <c r="O1445" s="203"/>
      <c r="P1445" s="248"/>
      <c r="Q1445" s="201"/>
      <c r="R1445" s="255"/>
      <c r="S1445" s="159"/>
      <c r="T1445" s="235"/>
      <c r="U1445" s="170"/>
    </row>
    <row r="1446" spans="1:21" ht="15.75" hidden="1" outlineLevel="3">
      <c r="A1446" s="162"/>
      <c r="B1446" s="152"/>
      <c r="C1446" s="174" t="s">
        <v>497</v>
      </c>
      <c r="D1446" s="340"/>
      <c r="E1446" s="164"/>
      <c r="F1446" s="165"/>
      <c r="G1446" s="172"/>
      <c r="H1446" s="164"/>
      <c r="I1446" s="164"/>
      <c r="J1446" s="164"/>
      <c r="K1446" s="223"/>
      <c r="L1446" s="234"/>
      <c r="M1446" s="202"/>
      <c r="N1446" s="250"/>
      <c r="O1446" s="203">
        <v>147000</v>
      </c>
      <c r="P1446" s="248">
        <f t="shared" ref="P1446:P1449" si="94">O1446*1.46</f>
        <v>214620</v>
      </c>
      <c r="Q1446" s="201"/>
      <c r="R1446" s="255"/>
      <c r="S1446" s="159">
        <f t="shared" si="93"/>
        <v>214620</v>
      </c>
      <c r="T1446" s="235"/>
      <c r="U1446" s="170"/>
    </row>
    <row r="1447" spans="1:21" ht="15.75" hidden="1" outlineLevel="3">
      <c r="A1447" s="162"/>
      <c r="B1447" s="152"/>
      <c r="C1447" s="174" t="s">
        <v>499</v>
      </c>
      <c r="D1447" s="340"/>
      <c r="E1447" s="164"/>
      <c r="F1447" s="165"/>
      <c r="G1447" s="172"/>
      <c r="H1447" s="164"/>
      <c r="I1447" s="164"/>
      <c r="J1447" s="164"/>
      <c r="K1447" s="223"/>
      <c r="L1447" s="234"/>
      <c r="M1447" s="202"/>
      <c r="N1447" s="250"/>
      <c r="O1447" s="203"/>
      <c r="P1447" s="248"/>
      <c r="Q1447" s="201"/>
      <c r="R1447" s="255"/>
      <c r="S1447" s="159"/>
      <c r="T1447" s="235"/>
      <c r="U1447" s="170"/>
    </row>
    <row r="1448" spans="1:21" ht="15.75" hidden="1" outlineLevel="3">
      <c r="A1448" s="162"/>
      <c r="B1448" s="152"/>
      <c r="C1448" s="174" t="s">
        <v>526</v>
      </c>
      <c r="D1448" s="340"/>
      <c r="E1448" s="164"/>
      <c r="F1448" s="165"/>
      <c r="G1448" s="172"/>
      <c r="H1448" s="164"/>
      <c r="I1448" s="164"/>
      <c r="J1448" s="164"/>
      <c r="K1448" s="223"/>
      <c r="L1448" s="234"/>
      <c r="M1448" s="202"/>
      <c r="N1448" s="250"/>
      <c r="O1448" s="203">
        <v>85000</v>
      </c>
      <c r="P1448" s="248">
        <f t="shared" si="94"/>
        <v>124100</v>
      </c>
      <c r="Q1448" s="201"/>
      <c r="R1448" s="255"/>
      <c r="S1448" s="159">
        <f t="shared" si="93"/>
        <v>124100</v>
      </c>
      <c r="T1448" s="235"/>
      <c r="U1448" s="161"/>
    </row>
    <row r="1449" spans="1:21" ht="15.75" hidden="1" outlineLevel="2" collapsed="1">
      <c r="A1449" s="162"/>
      <c r="B1449" s="152"/>
      <c r="C1449" s="151" t="s">
        <v>667</v>
      </c>
      <c r="D1449" s="339"/>
      <c r="E1449" s="164"/>
      <c r="F1449" s="165"/>
      <c r="G1449" s="249"/>
      <c r="H1449" s="244"/>
      <c r="I1449" s="244"/>
      <c r="J1449" s="244"/>
      <c r="K1449" s="255"/>
      <c r="L1449" s="226"/>
      <c r="M1449" s="202">
        <f>SUM(M1424:M1448)</f>
        <v>527000</v>
      </c>
      <c r="N1449" s="244">
        <f>M1449*1.23</f>
        <v>648210</v>
      </c>
      <c r="O1449" s="203">
        <f>SUM(O1424:O1448)</f>
        <v>232000</v>
      </c>
      <c r="P1449" s="244">
        <f t="shared" si="94"/>
        <v>338720</v>
      </c>
      <c r="Q1449" s="201">
        <f>SUM(Q1424:Q1448)</f>
        <v>80000</v>
      </c>
      <c r="R1449" s="255">
        <f>Q1449*1.73</f>
        <v>138400</v>
      </c>
      <c r="S1449" s="159">
        <f t="shared" si="93"/>
        <v>1125330</v>
      </c>
      <c r="T1449" s="235"/>
      <c r="U1449" s="161"/>
    </row>
    <row r="1450" spans="1:21" s="233" customFormat="1" hidden="1" outlineLevel="3">
      <c r="A1450" s="232"/>
      <c r="B1450" s="151" t="s">
        <v>668</v>
      </c>
      <c r="C1450" s="171"/>
      <c r="D1450" s="343"/>
      <c r="E1450" s="157"/>
      <c r="F1450" s="158"/>
      <c r="G1450" s="197"/>
      <c r="H1450" s="157"/>
      <c r="I1450" s="157"/>
      <c r="J1450" s="157"/>
      <c r="K1450" s="215"/>
      <c r="L1450" s="155"/>
      <c r="M1450" s="156"/>
      <c r="N1450" s="250"/>
      <c r="O1450" s="157"/>
      <c r="P1450" s="248"/>
      <c r="Q1450" s="158"/>
      <c r="R1450" s="255"/>
      <c r="S1450" s="159"/>
      <c r="T1450" s="225"/>
      <c r="U1450" s="170"/>
    </row>
    <row r="1451" spans="1:21" ht="15.75" hidden="1" outlineLevel="3">
      <c r="A1451" s="162"/>
      <c r="B1451" s="152"/>
      <c r="C1451" s="151" t="s">
        <v>503</v>
      </c>
      <c r="D1451" s="339"/>
      <c r="E1451" s="164"/>
      <c r="F1451" s="165"/>
      <c r="G1451" s="172"/>
      <c r="H1451" s="164"/>
      <c r="I1451" s="164"/>
      <c r="J1451" s="164"/>
      <c r="K1451" s="223"/>
      <c r="L1451" s="234"/>
      <c r="M1451" s="202"/>
      <c r="N1451" s="250"/>
      <c r="O1451" s="203"/>
      <c r="P1451" s="248"/>
      <c r="Q1451" s="201"/>
      <c r="R1451" s="255"/>
      <c r="S1451" s="226"/>
      <c r="T1451" s="235"/>
      <c r="U1451" s="170"/>
    </row>
    <row r="1452" spans="1:21" ht="15.75" hidden="1" outlineLevel="3">
      <c r="A1452" s="162"/>
      <c r="B1452" s="152"/>
      <c r="C1452" s="236" t="s">
        <v>520</v>
      </c>
      <c r="D1452" s="344"/>
      <c r="E1452" s="164"/>
      <c r="F1452" s="165"/>
      <c r="G1452" s="172"/>
      <c r="H1452" s="164"/>
      <c r="I1452" s="164"/>
      <c r="J1452" s="164"/>
      <c r="K1452" s="223"/>
      <c r="L1452" s="234"/>
      <c r="M1452" s="202"/>
      <c r="N1452" s="250"/>
      <c r="O1452" s="203"/>
      <c r="P1452" s="248"/>
      <c r="Q1452" s="201"/>
      <c r="R1452" s="255"/>
      <c r="S1452" s="226"/>
      <c r="T1452" s="235"/>
      <c r="U1452" s="170"/>
    </row>
    <row r="1453" spans="1:21" ht="15.75" hidden="1" outlineLevel="3">
      <c r="A1453" s="162"/>
      <c r="B1453" s="152"/>
      <c r="C1453" s="236" t="s">
        <v>478</v>
      </c>
      <c r="D1453" s="344"/>
      <c r="E1453" s="164"/>
      <c r="F1453" s="165"/>
      <c r="G1453" s="172"/>
      <c r="H1453" s="164"/>
      <c r="I1453" s="164"/>
      <c r="J1453" s="164"/>
      <c r="K1453" s="223"/>
      <c r="L1453" s="234"/>
      <c r="M1453" s="202"/>
      <c r="N1453" s="250"/>
      <c r="O1453" s="203"/>
      <c r="P1453" s="248"/>
      <c r="Q1453" s="201"/>
      <c r="R1453" s="255"/>
      <c r="S1453" s="226"/>
      <c r="T1453" s="235"/>
      <c r="U1453" s="170"/>
    </row>
    <row r="1454" spans="1:21" ht="15.75" hidden="1" outlineLevel="3">
      <c r="A1454" s="162"/>
      <c r="B1454" s="152"/>
      <c r="C1454" s="236" t="s">
        <v>479</v>
      </c>
      <c r="D1454" s="344"/>
      <c r="E1454" s="164"/>
      <c r="F1454" s="165"/>
      <c r="G1454" s="172"/>
      <c r="H1454" s="164"/>
      <c r="I1454" s="164"/>
      <c r="J1454" s="164"/>
      <c r="K1454" s="223"/>
      <c r="L1454" s="220"/>
      <c r="M1454" s="204"/>
      <c r="N1454" s="250"/>
      <c r="O1454" s="203"/>
      <c r="P1454" s="248"/>
      <c r="Q1454" s="201"/>
      <c r="R1454" s="255"/>
      <c r="S1454" s="226"/>
      <c r="T1454" s="235"/>
      <c r="U1454" s="170"/>
    </row>
    <row r="1455" spans="1:21" ht="15.75" hidden="1" outlineLevel="3">
      <c r="A1455" s="162"/>
      <c r="B1455" s="152"/>
      <c r="C1455" s="236" t="s">
        <v>480</v>
      </c>
      <c r="D1455" s="344"/>
      <c r="E1455" s="164"/>
      <c r="F1455" s="165"/>
      <c r="G1455" s="172"/>
      <c r="H1455" s="164"/>
      <c r="I1455" s="164"/>
      <c r="J1455" s="164"/>
      <c r="K1455" s="223"/>
      <c r="L1455" s="234"/>
      <c r="M1455" s="202"/>
      <c r="N1455" s="250"/>
      <c r="O1455" s="203"/>
      <c r="P1455" s="248"/>
      <c r="Q1455" s="201"/>
      <c r="R1455" s="255"/>
      <c r="S1455" s="226"/>
      <c r="T1455" s="235"/>
      <c r="U1455" s="170"/>
    </row>
    <row r="1456" spans="1:21" ht="15.75" hidden="1" outlineLevel="3">
      <c r="A1456" s="162"/>
      <c r="B1456" s="152"/>
      <c r="C1456" s="236" t="s">
        <v>512</v>
      </c>
      <c r="D1456" s="344"/>
      <c r="E1456" s="164"/>
      <c r="F1456" s="165"/>
      <c r="G1456" s="172"/>
      <c r="H1456" s="164"/>
      <c r="I1456" s="164"/>
      <c r="J1456" s="164"/>
      <c r="K1456" s="223"/>
      <c r="L1456" s="234"/>
      <c r="M1456" s="202"/>
      <c r="N1456" s="250"/>
      <c r="O1456" s="203"/>
      <c r="P1456" s="248"/>
      <c r="Q1456" s="201"/>
      <c r="R1456" s="255"/>
      <c r="S1456" s="226"/>
      <c r="T1456" s="235"/>
      <c r="U1456" s="170"/>
    </row>
    <row r="1457" spans="1:21" ht="15.75" hidden="1" outlineLevel="3">
      <c r="A1457" s="162"/>
      <c r="B1457" s="152"/>
      <c r="C1457" s="151" t="s">
        <v>504</v>
      </c>
      <c r="D1457" s="339"/>
      <c r="E1457" s="164"/>
      <c r="F1457" s="165"/>
      <c r="G1457" s="172"/>
      <c r="H1457" s="164"/>
      <c r="I1457" s="164"/>
      <c r="J1457" s="164"/>
      <c r="K1457" s="223"/>
      <c r="L1457" s="234"/>
      <c r="M1457" s="202"/>
      <c r="N1457" s="250"/>
      <c r="O1457" s="203"/>
      <c r="P1457" s="248"/>
      <c r="Q1457" s="201"/>
      <c r="R1457" s="255"/>
      <c r="S1457" s="226"/>
      <c r="T1457" s="235"/>
      <c r="U1457" s="170"/>
    </row>
    <row r="1458" spans="1:21" ht="15.75" hidden="1" outlineLevel="3">
      <c r="A1458" s="162"/>
      <c r="B1458" s="152"/>
      <c r="C1458" s="236" t="s">
        <v>483</v>
      </c>
      <c r="D1458" s="344"/>
      <c r="E1458" s="164"/>
      <c r="F1458" s="165"/>
      <c r="G1458" s="172"/>
      <c r="H1458" s="164"/>
      <c r="I1458" s="164"/>
      <c r="J1458" s="164"/>
      <c r="K1458" s="223"/>
      <c r="L1458" s="234"/>
      <c r="M1458" s="202"/>
      <c r="N1458" s="250"/>
      <c r="O1458" s="203"/>
      <c r="P1458" s="248"/>
      <c r="Q1458" s="201"/>
      <c r="R1458" s="255"/>
      <c r="S1458" s="226"/>
      <c r="T1458" s="235"/>
      <c r="U1458" s="170"/>
    </row>
    <row r="1459" spans="1:21" ht="15.75" hidden="1" outlineLevel="3">
      <c r="A1459" s="162"/>
      <c r="B1459" s="152"/>
      <c r="C1459" s="236" t="s">
        <v>484</v>
      </c>
      <c r="D1459" s="344"/>
      <c r="E1459" s="164"/>
      <c r="F1459" s="165"/>
      <c r="G1459" s="172"/>
      <c r="H1459" s="164"/>
      <c r="I1459" s="164"/>
      <c r="J1459" s="164"/>
      <c r="K1459" s="223"/>
      <c r="L1459" s="234"/>
      <c r="M1459" s="202"/>
      <c r="N1459" s="250"/>
      <c r="O1459" s="203"/>
      <c r="P1459" s="248"/>
      <c r="Q1459" s="201"/>
      <c r="R1459" s="255"/>
      <c r="S1459" s="226"/>
      <c r="T1459" s="235"/>
      <c r="U1459" s="170"/>
    </row>
    <row r="1460" spans="1:21" ht="15.75" hidden="1" outlineLevel="3">
      <c r="A1460" s="162"/>
      <c r="B1460" s="152"/>
      <c r="C1460" s="236" t="s">
        <v>479</v>
      </c>
      <c r="D1460" s="344"/>
      <c r="E1460" s="164"/>
      <c r="F1460" s="165"/>
      <c r="G1460" s="172"/>
      <c r="H1460" s="164"/>
      <c r="I1460" s="164"/>
      <c r="J1460" s="164"/>
      <c r="K1460" s="223"/>
      <c r="L1460" s="234"/>
      <c r="M1460" s="202">
        <v>192000</v>
      </c>
      <c r="N1460" s="250">
        <f>M1460*1.23</f>
        <v>236160</v>
      </c>
      <c r="O1460" s="171"/>
      <c r="P1460" s="248"/>
      <c r="Q1460" s="201"/>
      <c r="R1460" s="255"/>
      <c r="S1460" s="159">
        <f t="shared" ref="S1460" si="95">SUM(L1460,N1460,P1460,R1460)</f>
        <v>236160</v>
      </c>
      <c r="T1460" s="235"/>
      <c r="U1460" s="170"/>
    </row>
    <row r="1461" spans="1:21" ht="15.75" hidden="1" outlineLevel="3">
      <c r="A1461" s="162"/>
      <c r="B1461" s="152"/>
      <c r="C1461" s="236" t="s">
        <v>485</v>
      </c>
      <c r="D1461" s="344"/>
      <c r="E1461" s="164"/>
      <c r="F1461" s="165"/>
      <c r="G1461" s="172"/>
      <c r="H1461" s="164"/>
      <c r="I1461" s="164"/>
      <c r="J1461" s="164"/>
      <c r="K1461" s="223"/>
      <c r="L1461" s="234"/>
      <c r="M1461" s="202"/>
      <c r="N1461" s="250"/>
      <c r="O1461" s="203"/>
      <c r="P1461" s="248"/>
      <c r="Q1461" s="201"/>
      <c r="R1461" s="255"/>
      <c r="S1461" s="226"/>
      <c r="T1461" s="235"/>
      <c r="U1461" s="170"/>
    </row>
    <row r="1462" spans="1:21" ht="15.75" hidden="1" outlineLevel="3">
      <c r="A1462" s="162"/>
      <c r="B1462" s="152"/>
      <c r="C1462" s="151" t="s">
        <v>505</v>
      </c>
      <c r="D1462" s="339"/>
      <c r="E1462" s="164"/>
      <c r="F1462" s="165"/>
      <c r="G1462" s="172"/>
      <c r="H1462" s="164"/>
      <c r="I1462" s="164"/>
      <c r="J1462" s="164"/>
      <c r="K1462" s="223"/>
      <c r="L1462" s="234"/>
      <c r="M1462" s="202"/>
      <c r="N1462" s="250"/>
      <c r="O1462" s="203"/>
      <c r="P1462" s="248"/>
      <c r="Q1462" s="201"/>
      <c r="R1462" s="255"/>
      <c r="S1462" s="226"/>
      <c r="T1462" s="235"/>
      <c r="U1462" s="170"/>
    </row>
    <row r="1463" spans="1:21" ht="15.75" hidden="1" outlineLevel="3">
      <c r="A1463" s="162"/>
      <c r="B1463" s="152"/>
      <c r="C1463" s="236" t="s">
        <v>487</v>
      </c>
      <c r="D1463" s="344"/>
      <c r="E1463" s="164"/>
      <c r="F1463" s="165"/>
      <c r="G1463" s="172"/>
      <c r="H1463" s="164"/>
      <c r="I1463" s="164"/>
      <c r="J1463" s="164"/>
      <c r="K1463" s="223"/>
      <c r="L1463" s="234"/>
      <c r="M1463" s="202"/>
      <c r="N1463" s="250"/>
      <c r="O1463" s="203"/>
      <c r="P1463" s="248"/>
      <c r="Q1463" s="201"/>
      <c r="R1463" s="255"/>
      <c r="S1463" s="226"/>
      <c r="T1463" s="235"/>
      <c r="U1463" s="170"/>
    </row>
    <row r="1464" spans="1:21" ht="15.75" hidden="1" outlineLevel="3">
      <c r="A1464" s="162"/>
      <c r="B1464" s="152"/>
      <c r="C1464" s="236" t="s">
        <v>479</v>
      </c>
      <c r="D1464" s="344"/>
      <c r="E1464" s="164"/>
      <c r="F1464" s="165"/>
      <c r="G1464" s="172"/>
      <c r="H1464" s="164"/>
      <c r="I1464" s="164"/>
      <c r="J1464" s="164"/>
      <c r="K1464" s="223"/>
      <c r="L1464" s="234"/>
      <c r="M1464" s="202"/>
      <c r="N1464" s="250"/>
      <c r="O1464" s="203"/>
      <c r="P1464" s="248"/>
      <c r="Q1464" s="201"/>
      <c r="R1464" s="255"/>
      <c r="S1464" s="226"/>
      <c r="T1464" s="235"/>
      <c r="U1464" s="170"/>
    </row>
    <row r="1465" spans="1:21" ht="15.75" hidden="1" outlineLevel="3">
      <c r="A1465" s="162"/>
      <c r="B1465" s="152"/>
      <c r="C1465" s="236" t="s">
        <v>488</v>
      </c>
      <c r="D1465" s="344"/>
      <c r="E1465" s="164"/>
      <c r="F1465" s="165"/>
      <c r="G1465" s="172"/>
      <c r="H1465" s="164"/>
      <c r="I1465" s="164"/>
      <c r="J1465" s="164"/>
      <c r="K1465" s="223"/>
      <c r="L1465" s="234"/>
      <c r="M1465" s="202"/>
      <c r="N1465" s="250"/>
      <c r="O1465" s="203"/>
      <c r="P1465" s="248"/>
      <c r="Q1465" s="201"/>
      <c r="R1465" s="255"/>
      <c r="S1465" s="226"/>
      <c r="T1465" s="235"/>
      <c r="U1465" s="170"/>
    </row>
    <row r="1466" spans="1:21" ht="15.75" hidden="1" outlineLevel="3">
      <c r="A1466" s="162"/>
      <c r="B1466" s="152"/>
      <c r="C1466" s="236" t="s">
        <v>489</v>
      </c>
      <c r="D1466" s="344"/>
      <c r="E1466" s="164"/>
      <c r="F1466" s="165"/>
      <c r="G1466" s="172"/>
      <c r="H1466" s="164"/>
      <c r="I1466" s="164"/>
      <c r="J1466" s="164"/>
      <c r="K1466" s="223"/>
      <c r="L1466" s="234"/>
      <c r="M1466" s="202"/>
      <c r="N1466" s="250"/>
      <c r="O1466" s="203"/>
      <c r="P1466" s="248"/>
      <c r="Q1466" s="201"/>
      <c r="R1466" s="255"/>
      <c r="S1466" s="226"/>
      <c r="T1466" s="235"/>
      <c r="U1466" s="170"/>
    </row>
    <row r="1467" spans="1:21" ht="15.75" hidden="1" outlineLevel="3">
      <c r="A1467" s="162"/>
      <c r="B1467" s="152"/>
      <c r="C1467" s="151" t="s">
        <v>506</v>
      </c>
      <c r="D1467" s="339"/>
      <c r="E1467" s="164"/>
      <c r="F1467" s="165"/>
      <c r="G1467" s="172"/>
      <c r="H1467" s="164"/>
      <c r="I1467" s="164"/>
      <c r="J1467" s="164"/>
      <c r="K1467" s="223"/>
      <c r="L1467" s="234"/>
      <c r="M1467" s="202"/>
      <c r="N1467" s="250"/>
      <c r="O1467" s="203"/>
      <c r="P1467" s="248"/>
      <c r="Q1467" s="201"/>
      <c r="R1467" s="255"/>
      <c r="S1467" s="226"/>
      <c r="T1467" s="235"/>
      <c r="U1467" s="170"/>
    </row>
    <row r="1468" spans="1:21" ht="15.75" hidden="1" outlineLevel="3">
      <c r="A1468" s="162"/>
      <c r="B1468" s="152"/>
      <c r="C1468" s="236" t="s">
        <v>491</v>
      </c>
      <c r="D1468" s="344"/>
      <c r="E1468" s="164"/>
      <c r="F1468" s="165"/>
      <c r="G1468" s="172"/>
      <c r="H1468" s="164"/>
      <c r="I1468" s="164"/>
      <c r="J1468" s="164"/>
      <c r="K1468" s="223"/>
      <c r="L1468" s="234"/>
      <c r="M1468" s="202"/>
      <c r="N1468" s="250"/>
      <c r="O1468" s="203"/>
      <c r="P1468" s="248"/>
      <c r="Q1468" s="201"/>
      <c r="R1468" s="255"/>
      <c r="S1468" s="226"/>
      <c r="T1468" s="235"/>
      <c r="U1468" s="170"/>
    </row>
    <row r="1469" spans="1:21" ht="15.75" hidden="1" outlineLevel="3">
      <c r="A1469" s="162"/>
      <c r="B1469" s="152"/>
      <c r="C1469" s="236" t="s">
        <v>492</v>
      </c>
      <c r="D1469" s="344"/>
      <c r="E1469" s="164"/>
      <c r="F1469" s="165"/>
      <c r="G1469" s="172"/>
      <c r="H1469" s="164"/>
      <c r="I1469" s="164"/>
      <c r="J1469" s="164"/>
      <c r="K1469" s="223"/>
      <c r="L1469" s="234"/>
      <c r="M1469" s="202"/>
      <c r="N1469" s="250"/>
      <c r="O1469" s="203">
        <v>103000</v>
      </c>
      <c r="P1469" s="248">
        <f>O1469*1.46</f>
        <v>150380</v>
      </c>
      <c r="Q1469" s="201"/>
      <c r="R1469" s="255"/>
      <c r="S1469" s="159">
        <f t="shared" ref="S1469:S1470" si="96">SUM(L1469,N1469,P1469,R1469)</f>
        <v>150380</v>
      </c>
      <c r="T1469" s="235"/>
      <c r="U1469" s="170"/>
    </row>
    <row r="1470" spans="1:21" ht="15.75" hidden="1" outlineLevel="3">
      <c r="A1470" s="162"/>
      <c r="B1470" s="152"/>
      <c r="C1470" s="236" t="s">
        <v>493</v>
      </c>
      <c r="D1470" s="344"/>
      <c r="E1470" s="164"/>
      <c r="F1470" s="165"/>
      <c r="G1470" s="172"/>
      <c r="H1470" s="164"/>
      <c r="I1470" s="164"/>
      <c r="J1470" s="164"/>
      <c r="K1470" s="223"/>
      <c r="L1470" s="234"/>
      <c r="M1470" s="202"/>
      <c r="N1470" s="250"/>
      <c r="O1470" s="203">
        <v>91000</v>
      </c>
      <c r="P1470" s="248">
        <f>O1470*1.46</f>
        <v>132860</v>
      </c>
      <c r="Q1470" s="201"/>
      <c r="R1470" s="255"/>
      <c r="S1470" s="159">
        <f t="shared" si="96"/>
        <v>132860</v>
      </c>
      <c r="T1470" s="235"/>
      <c r="U1470" s="170"/>
    </row>
    <row r="1471" spans="1:21" ht="15.75" hidden="1" outlineLevel="3">
      <c r="A1471" s="162"/>
      <c r="B1471" s="152"/>
      <c r="C1471" s="236" t="s">
        <v>494</v>
      </c>
      <c r="D1471" s="344"/>
      <c r="E1471" s="164"/>
      <c r="F1471" s="165"/>
      <c r="G1471" s="172"/>
      <c r="H1471" s="164"/>
      <c r="I1471" s="164"/>
      <c r="J1471" s="164"/>
      <c r="K1471" s="223"/>
      <c r="L1471" s="234"/>
      <c r="M1471" s="202"/>
      <c r="N1471" s="250"/>
      <c r="O1471" s="203"/>
      <c r="P1471" s="248"/>
      <c r="Q1471" s="201"/>
      <c r="R1471" s="255"/>
      <c r="S1471" s="226"/>
      <c r="T1471" s="235"/>
      <c r="U1471" s="161"/>
    </row>
    <row r="1472" spans="1:21" ht="15.75" hidden="1" outlineLevel="3">
      <c r="A1472" s="162"/>
      <c r="B1472" s="152"/>
      <c r="C1472" s="151" t="s">
        <v>507</v>
      </c>
      <c r="D1472" s="339"/>
      <c r="E1472" s="164"/>
      <c r="F1472" s="165"/>
      <c r="G1472" s="172"/>
      <c r="H1472" s="164"/>
      <c r="I1472" s="164"/>
      <c r="J1472" s="164"/>
      <c r="K1472" s="223"/>
      <c r="L1472" s="234"/>
      <c r="M1472" s="202"/>
      <c r="N1472" s="250"/>
      <c r="O1472" s="203"/>
      <c r="P1472" s="248"/>
      <c r="Q1472" s="201"/>
      <c r="R1472" s="255"/>
      <c r="S1472" s="226"/>
      <c r="T1472" s="235"/>
      <c r="U1472" s="170"/>
    </row>
    <row r="1473" spans="1:21" ht="15.75" hidden="1" outlineLevel="3">
      <c r="A1473" s="162"/>
      <c r="B1473" s="152"/>
      <c r="C1473" s="174" t="s">
        <v>496</v>
      </c>
      <c r="D1473" s="340"/>
      <c r="E1473" s="164"/>
      <c r="F1473" s="165"/>
      <c r="G1473" s="172"/>
      <c r="H1473" s="164"/>
      <c r="I1473" s="164"/>
      <c r="J1473" s="164"/>
      <c r="K1473" s="223"/>
      <c r="L1473" s="234"/>
      <c r="M1473" s="202"/>
      <c r="N1473" s="250"/>
      <c r="O1473" s="203"/>
      <c r="P1473" s="248"/>
      <c r="Q1473" s="201"/>
      <c r="R1473" s="255"/>
      <c r="S1473" s="226"/>
      <c r="T1473" s="235"/>
      <c r="U1473" s="170"/>
    </row>
    <row r="1474" spans="1:21" ht="15.75" hidden="1" outlineLevel="3">
      <c r="A1474" s="162"/>
      <c r="B1474" s="152"/>
      <c r="C1474" s="174" t="s">
        <v>497</v>
      </c>
      <c r="D1474" s="340"/>
      <c r="E1474" s="164"/>
      <c r="F1474" s="165"/>
      <c r="G1474" s="172"/>
      <c r="H1474" s="164"/>
      <c r="I1474" s="164"/>
      <c r="J1474" s="164"/>
      <c r="K1474" s="223"/>
      <c r="L1474" s="234"/>
      <c r="M1474" s="202"/>
      <c r="N1474" s="250"/>
      <c r="O1474" s="203"/>
      <c r="P1474" s="248"/>
      <c r="Q1474" s="201"/>
      <c r="R1474" s="255"/>
      <c r="S1474" s="226"/>
      <c r="T1474" s="235"/>
      <c r="U1474" s="170"/>
    </row>
    <row r="1475" spans="1:21" ht="15.75" hidden="1" outlineLevel="3">
      <c r="A1475" s="162"/>
      <c r="B1475" s="152"/>
      <c r="C1475" s="174" t="s">
        <v>499</v>
      </c>
      <c r="D1475" s="340"/>
      <c r="E1475" s="164"/>
      <c r="F1475" s="165"/>
      <c r="G1475" s="172"/>
      <c r="H1475" s="164"/>
      <c r="I1475" s="164"/>
      <c r="J1475" s="164"/>
      <c r="K1475" s="223"/>
      <c r="L1475" s="234"/>
      <c r="M1475" s="202"/>
      <c r="N1475" s="250"/>
      <c r="O1475" s="203"/>
      <c r="P1475" s="248"/>
      <c r="Q1475" s="201"/>
      <c r="R1475" s="255"/>
      <c r="S1475" s="226"/>
      <c r="T1475" s="235"/>
      <c r="U1475" s="170"/>
    </row>
    <row r="1476" spans="1:21" ht="15.75" hidden="1" outlineLevel="3">
      <c r="A1476" s="162"/>
      <c r="B1476" s="152"/>
      <c r="C1476" s="174" t="s">
        <v>526</v>
      </c>
      <c r="D1476" s="340"/>
      <c r="E1476" s="164"/>
      <c r="F1476" s="165"/>
      <c r="G1476" s="172"/>
      <c r="H1476" s="164"/>
      <c r="I1476" s="164"/>
      <c r="J1476" s="164"/>
      <c r="K1476" s="223"/>
      <c r="L1476" s="234"/>
      <c r="M1476" s="202"/>
      <c r="N1476" s="250"/>
      <c r="O1476" s="203"/>
      <c r="P1476" s="248"/>
      <c r="Q1476" s="201"/>
      <c r="R1476" s="255"/>
      <c r="S1476" s="226"/>
      <c r="T1476" s="235"/>
      <c r="U1476" s="161"/>
    </row>
    <row r="1477" spans="1:21" ht="15.75" hidden="1" outlineLevel="2" collapsed="1">
      <c r="A1477" s="162"/>
      <c r="B1477" s="152"/>
      <c r="C1477" s="151" t="s">
        <v>668</v>
      </c>
      <c r="D1477" s="339"/>
      <c r="E1477" s="164"/>
      <c r="F1477" s="165"/>
      <c r="G1477" s="172"/>
      <c r="H1477" s="164"/>
      <c r="I1477" s="164"/>
      <c r="J1477" s="164"/>
      <c r="K1477" s="223"/>
      <c r="L1477" s="234"/>
      <c r="M1477" s="202">
        <f>SUM(M1451:M1476)</f>
        <v>192000</v>
      </c>
      <c r="N1477" s="244">
        <f>M1477*1.23</f>
        <v>236160</v>
      </c>
      <c r="O1477" s="203">
        <f>SUM(O1451:O1476)</f>
        <v>194000</v>
      </c>
      <c r="P1477" s="244">
        <f>O1477*1.46</f>
        <v>283240</v>
      </c>
      <c r="Q1477" s="201"/>
      <c r="R1477" s="255"/>
      <c r="S1477" s="159">
        <f t="shared" ref="S1477" si="97">SUM(L1477,N1477,P1477,R1477)</f>
        <v>519400</v>
      </c>
      <c r="T1477" s="235"/>
      <c r="U1477" s="161"/>
    </row>
    <row r="1478" spans="1:21" s="233" customFormat="1" hidden="1" outlineLevel="3">
      <c r="A1478" s="232"/>
      <c r="B1478" s="151" t="s">
        <v>669</v>
      </c>
      <c r="C1478" s="171"/>
      <c r="D1478" s="343"/>
      <c r="E1478" s="157"/>
      <c r="F1478" s="158"/>
      <c r="G1478" s="197"/>
      <c r="H1478" s="157"/>
      <c r="I1478" s="157"/>
      <c r="J1478" s="157"/>
      <c r="K1478" s="215"/>
      <c r="L1478" s="155"/>
      <c r="M1478" s="156"/>
      <c r="N1478" s="250"/>
      <c r="O1478" s="157"/>
      <c r="P1478" s="248"/>
      <c r="Q1478" s="158"/>
      <c r="R1478" s="255"/>
      <c r="S1478" s="159"/>
      <c r="T1478" s="225"/>
      <c r="U1478" s="170"/>
    </row>
    <row r="1479" spans="1:21" ht="15.75" hidden="1" outlineLevel="3">
      <c r="A1479" s="162"/>
      <c r="B1479" s="152"/>
      <c r="C1479" s="151" t="s">
        <v>503</v>
      </c>
      <c r="D1479" s="339"/>
      <c r="E1479" s="164"/>
      <c r="F1479" s="165"/>
      <c r="G1479" s="172"/>
      <c r="H1479" s="164"/>
      <c r="I1479" s="164"/>
      <c r="J1479" s="164"/>
      <c r="K1479" s="223"/>
      <c r="L1479" s="234"/>
      <c r="M1479" s="202"/>
      <c r="N1479" s="250"/>
      <c r="O1479" s="203"/>
      <c r="P1479" s="248"/>
      <c r="Q1479" s="201"/>
      <c r="R1479" s="255"/>
      <c r="S1479" s="226"/>
      <c r="T1479" s="235"/>
      <c r="U1479" s="170"/>
    </row>
    <row r="1480" spans="1:21" ht="15.75" hidden="1" outlineLevel="3">
      <c r="A1480" s="162"/>
      <c r="B1480" s="152"/>
      <c r="C1480" s="236" t="s">
        <v>520</v>
      </c>
      <c r="D1480" s="344"/>
      <c r="E1480" s="164"/>
      <c r="F1480" s="165"/>
      <c r="G1480" s="172"/>
      <c r="H1480" s="164"/>
      <c r="I1480" s="164"/>
      <c r="J1480" s="164"/>
      <c r="K1480" s="223"/>
      <c r="L1480" s="234"/>
      <c r="M1480" s="202"/>
      <c r="N1480" s="250"/>
      <c r="O1480" s="203"/>
      <c r="P1480" s="248"/>
      <c r="Q1480" s="201"/>
      <c r="R1480" s="255"/>
      <c r="S1480" s="226"/>
      <c r="T1480" s="235"/>
      <c r="U1480" s="170"/>
    </row>
    <row r="1481" spans="1:21" ht="15.75" hidden="1" outlineLevel="3">
      <c r="A1481" s="162"/>
      <c r="B1481" s="152"/>
      <c r="C1481" s="236" t="s">
        <v>478</v>
      </c>
      <c r="D1481" s="344"/>
      <c r="E1481" s="164"/>
      <c r="F1481" s="165"/>
      <c r="G1481" s="172"/>
      <c r="H1481" s="164"/>
      <c r="I1481" s="164"/>
      <c r="J1481" s="164"/>
      <c r="K1481" s="223"/>
      <c r="L1481" s="234"/>
      <c r="M1481" s="202"/>
      <c r="N1481" s="250"/>
      <c r="O1481" s="203"/>
      <c r="P1481" s="248"/>
      <c r="Q1481" s="201"/>
      <c r="R1481" s="255"/>
      <c r="S1481" s="226"/>
      <c r="T1481" s="235"/>
      <c r="U1481" s="170"/>
    </row>
    <row r="1482" spans="1:21" ht="15.75" hidden="1" outlineLevel="3">
      <c r="A1482" s="162"/>
      <c r="B1482" s="152"/>
      <c r="C1482" s="236" t="s">
        <v>479</v>
      </c>
      <c r="D1482" s="344"/>
      <c r="E1482" s="164"/>
      <c r="F1482" s="165"/>
      <c r="G1482" s="172"/>
      <c r="H1482" s="164"/>
      <c r="I1482" s="164"/>
      <c r="J1482" s="164"/>
      <c r="K1482" s="223"/>
      <c r="L1482" s="220"/>
      <c r="M1482" s="204"/>
      <c r="N1482" s="250"/>
      <c r="O1482" s="203"/>
      <c r="P1482" s="248"/>
      <c r="Q1482" s="201"/>
      <c r="R1482" s="255"/>
      <c r="S1482" s="226"/>
      <c r="T1482" s="235"/>
      <c r="U1482" s="170"/>
    </row>
    <row r="1483" spans="1:21" ht="15.75" hidden="1" outlineLevel="3">
      <c r="A1483" s="162"/>
      <c r="B1483" s="152"/>
      <c r="C1483" s="236" t="s">
        <v>480</v>
      </c>
      <c r="D1483" s="344"/>
      <c r="E1483" s="164"/>
      <c r="F1483" s="165"/>
      <c r="G1483" s="172"/>
      <c r="H1483" s="164"/>
      <c r="I1483" s="164"/>
      <c r="J1483" s="164"/>
      <c r="K1483" s="223"/>
      <c r="L1483" s="234"/>
      <c r="M1483" s="202"/>
      <c r="N1483" s="250"/>
      <c r="O1483" s="203"/>
      <c r="P1483" s="248"/>
      <c r="Q1483" s="201"/>
      <c r="R1483" s="255"/>
      <c r="S1483" s="226"/>
      <c r="T1483" s="235"/>
      <c r="U1483" s="170"/>
    </row>
    <row r="1484" spans="1:21" ht="15.75" hidden="1" outlineLevel="3">
      <c r="A1484" s="162"/>
      <c r="B1484" s="152"/>
      <c r="C1484" s="236" t="s">
        <v>512</v>
      </c>
      <c r="D1484" s="344"/>
      <c r="E1484" s="164"/>
      <c r="F1484" s="165"/>
      <c r="G1484" s="172"/>
      <c r="H1484" s="164"/>
      <c r="I1484" s="164"/>
      <c r="J1484" s="164"/>
      <c r="K1484" s="223"/>
      <c r="L1484" s="234"/>
      <c r="M1484" s="202"/>
      <c r="N1484" s="250"/>
      <c r="O1484" s="203"/>
      <c r="P1484" s="248"/>
      <c r="Q1484" s="201"/>
      <c r="R1484" s="255"/>
      <c r="S1484" s="226"/>
      <c r="T1484" s="235"/>
      <c r="U1484" s="170"/>
    </row>
    <row r="1485" spans="1:21" ht="15.75" hidden="1" outlineLevel="3">
      <c r="A1485" s="162"/>
      <c r="B1485" s="152"/>
      <c r="C1485" s="151" t="s">
        <v>504</v>
      </c>
      <c r="D1485" s="339"/>
      <c r="E1485" s="164"/>
      <c r="F1485" s="165"/>
      <c r="G1485" s="172"/>
      <c r="H1485" s="164"/>
      <c r="I1485" s="164"/>
      <c r="J1485" s="164"/>
      <c r="K1485" s="223"/>
      <c r="L1485" s="234"/>
      <c r="M1485" s="202"/>
      <c r="N1485" s="250"/>
      <c r="O1485" s="203"/>
      <c r="P1485" s="248"/>
      <c r="Q1485" s="201"/>
      <c r="R1485" s="255"/>
      <c r="S1485" s="226"/>
      <c r="T1485" s="235"/>
      <c r="U1485" s="170"/>
    </row>
    <row r="1486" spans="1:21" ht="15.75" hidden="1" outlineLevel="3">
      <c r="A1486" s="162"/>
      <c r="B1486" s="152"/>
      <c r="C1486" s="236" t="s">
        <v>483</v>
      </c>
      <c r="D1486" s="344"/>
      <c r="E1486" s="164"/>
      <c r="F1486" s="165"/>
      <c r="G1486" s="172"/>
      <c r="H1486" s="164"/>
      <c r="I1486" s="164"/>
      <c r="J1486" s="164"/>
      <c r="K1486" s="223"/>
      <c r="L1486" s="234"/>
      <c r="M1486" s="202"/>
      <c r="N1486" s="250"/>
      <c r="O1486" s="203"/>
      <c r="P1486" s="248"/>
      <c r="Q1486" s="201"/>
      <c r="R1486" s="255"/>
      <c r="S1486" s="226"/>
      <c r="T1486" s="235"/>
      <c r="U1486" s="170"/>
    </row>
    <row r="1487" spans="1:21" ht="15.75" hidden="1" outlineLevel="3">
      <c r="A1487" s="162"/>
      <c r="B1487" s="152"/>
      <c r="C1487" s="236" t="s">
        <v>484</v>
      </c>
      <c r="D1487" s="344"/>
      <c r="E1487" s="164"/>
      <c r="F1487" s="165"/>
      <c r="G1487" s="172"/>
      <c r="H1487" s="164"/>
      <c r="I1487" s="164"/>
      <c r="J1487" s="164"/>
      <c r="K1487" s="223"/>
      <c r="L1487" s="234"/>
      <c r="M1487" s="202"/>
      <c r="N1487" s="250"/>
      <c r="O1487" s="203"/>
      <c r="P1487" s="248"/>
      <c r="Q1487" s="201"/>
      <c r="R1487" s="255"/>
      <c r="S1487" s="226"/>
      <c r="T1487" s="235"/>
      <c r="U1487" s="170"/>
    </row>
    <row r="1488" spans="1:21" ht="15.75" hidden="1" outlineLevel="3">
      <c r="A1488" s="162"/>
      <c r="B1488" s="152"/>
      <c r="C1488" s="236" t="s">
        <v>479</v>
      </c>
      <c r="D1488" s="344"/>
      <c r="E1488" s="164"/>
      <c r="F1488" s="165"/>
      <c r="G1488" s="172"/>
      <c r="H1488" s="164"/>
      <c r="I1488" s="164"/>
      <c r="J1488" s="164"/>
      <c r="K1488" s="223"/>
      <c r="L1488" s="234"/>
      <c r="M1488" s="202"/>
      <c r="N1488" s="250"/>
      <c r="O1488" s="203"/>
      <c r="P1488" s="248"/>
      <c r="Q1488" s="201"/>
      <c r="R1488" s="255"/>
      <c r="S1488" s="226"/>
      <c r="T1488" s="235"/>
      <c r="U1488" s="170"/>
    </row>
    <row r="1489" spans="1:21" ht="15.75" hidden="1" outlineLevel="3">
      <c r="A1489" s="162"/>
      <c r="B1489" s="152"/>
      <c r="C1489" s="236" t="s">
        <v>485</v>
      </c>
      <c r="D1489" s="344"/>
      <c r="E1489" s="164"/>
      <c r="F1489" s="165"/>
      <c r="G1489" s="172"/>
      <c r="H1489" s="164"/>
      <c r="I1489" s="164"/>
      <c r="J1489" s="164"/>
      <c r="K1489" s="223"/>
      <c r="L1489" s="234"/>
      <c r="M1489" s="202"/>
      <c r="N1489" s="250"/>
      <c r="O1489" s="203"/>
      <c r="P1489" s="248"/>
      <c r="Q1489" s="201"/>
      <c r="R1489" s="255"/>
      <c r="S1489" s="226"/>
      <c r="T1489" s="235"/>
      <c r="U1489" s="170"/>
    </row>
    <row r="1490" spans="1:21" ht="15.75" hidden="1" outlineLevel="3">
      <c r="A1490" s="162"/>
      <c r="B1490" s="152"/>
      <c r="C1490" s="151" t="s">
        <v>505</v>
      </c>
      <c r="D1490" s="339"/>
      <c r="E1490" s="164"/>
      <c r="F1490" s="165"/>
      <c r="G1490" s="172"/>
      <c r="H1490" s="164"/>
      <c r="I1490" s="164"/>
      <c r="J1490" s="164"/>
      <c r="K1490" s="223"/>
      <c r="L1490" s="234"/>
      <c r="M1490" s="202"/>
      <c r="N1490" s="250"/>
      <c r="O1490" s="203"/>
      <c r="P1490" s="248"/>
      <c r="Q1490" s="201"/>
      <c r="R1490" s="255"/>
      <c r="S1490" s="226"/>
      <c r="T1490" s="235"/>
      <c r="U1490" s="170"/>
    </row>
    <row r="1491" spans="1:21" ht="15.75" hidden="1" outlineLevel="3">
      <c r="A1491" s="162"/>
      <c r="B1491" s="152"/>
      <c r="C1491" s="236" t="s">
        <v>487</v>
      </c>
      <c r="D1491" s="344"/>
      <c r="E1491" s="164"/>
      <c r="F1491" s="165"/>
      <c r="G1491" s="172"/>
      <c r="H1491" s="164"/>
      <c r="I1491" s="164"/>
      <c r="J1491" s="164"/>
      <c r="K1491" s="223"/>
      <c r="L1491" s="234"/>
      <c r="M1491" s="202"/>
      <c r="N1491" s="250"/>
      <c r="O1491" s="203"/>
      <c r="P1491" s="248"/>
      <c r="Q1491" s="201"/>
      <c r="R1491" s="255"/>
      <c r="S1491" s="226"/>
      <c r="T1491" s="235"/>
      <c r="U1491" s="170"/>
    </row>
    <row r="1492" spans="1:21" ht="15.75" hidden="1" outlineLevel="3">
      <c r="A1492" s="162"/>
      <c r="B1492" s="152"/>
      <c r="C1492" s="236" t="s">
        <v>479</v>
      </c>
      <c r="D1492" s="344"/>
      <c r="E1492" s="164"/>
      <c r="F1492" s="165"/>
      <c r="G1492" s="172"/>
      <c r="H1492" s="164"/>
      <c r="I1492" s="164"/>
      <c r="J1492" s="164"/>
      <c r="K1492" s="223"/>
      <c r="L1492" s="234"/>
      <c r="M1492" s="202"/>
      <c r="N1492" s="250"/>
      <c r="O1492" s="203"/>
      <c r="P1492" s="248"/>
      <c r="Q1492" s="201"/>
      <c r="R1492" s="255"/>
      <c r="S1492" s="226"/>
      <c r="T1492" s="235"/>
      <c r="U1492" s="170"/>
    </row>
    <row r="1493" spans="1:21" ht="15.75" hidden="1" outlineLevel="3">
      <c r="A1493" s="162"/>
      <c r="B1493" s="152"/>
      <c r="C1493" s="236" t="s">
        <v>488</v>
      </c>
      <c r="D1493" s="344"/>
      <c r="E1493" s="164"/>
      <c r="F1493" s="165"/>
      <c r="G1493" s="172"/>
      <c r="H1493" s="164"/>
      <c r="I1493" s="164"/>
      <c r="J1493" s="164"/>
      <c r="K1493" s="223"/>
      <c r="L1493" s="234"/>
      <c r="M1493" s="202"/>
      <c r="N1493" s="250"/>
      <c r="O1493" s="203"/>
      <c r="P1493" s="248"/>
      <c r="Q1493" s="201"/>
      <c r="R1493" s="255"/>
      <c r="S1493" s="226"/>
      <c r="T1493" s="235"/>
      <c r="U1493" s="170"/>
    </row>
    <row r="1494" spans="1:21" ht="15.75" hidden="1" outlineLevel="3">
      <c r="A1494" s="162"/>
      <c r="B1494" s="152"/>
      <c r="C1494" s="236" t="s">
        <v>489</v>
      </c>
      <c r="D1494" s="344"/>
      <c r="E1494" s="164"/>
      <c r="F1494" s="165"/>
      <c r="G1494" s="172"/>
      <c r="H1494" s="164"/>
      <c r="I1494" s="164"/>
      <c r="J1494" s="164"/>
      <c r="K1494" s="223"/>
      <c r="L1494" s="234"/>
      <c r="M1494" s="202"/>
      <c r="N1494" s="250"/>
      <c r="O1494" s="203"/>
      <c r="P1494" s="248"/>
      <c r="Q1494" s="201"/>
      <c r="R1494" s="255"/>
      <c r="S1494" s="226"/>
      <c r="T1494" s="235"/>
      <c r="U1494" s="170"/>
    </row>
    <row r="1495" spans="1:21" ht="15.75" hidden="1" outlineLevel="3">
      <c r="A1495" s="162"/>
      <c r="B1495" s="152"/>
      <c r="C1495" s="151" t="s">
        <v>506</v>
      </c>
      <c r="D1495" s="339"/>
      <c r="E1495" s="164"/>
      <c r="F1495" s="165"/>
      <c r="G1495" s="172"/>
      <c r="H1495" s="164"/>
      <c r="I1495" s="164"/>
      <c r="J1495" s="164"/>
      <c r="K1495" s="223"/>
      <c r="L1495" s="234"/>
      <c r="M1495" s="202"/>
      <c r="N1495" s="250"/>
      <c r="O1495" s="203"/>
      <c r="P1495" s="248"/>
      <c r="Q1495" s="201"/>
      <c r="R1495" s="255"/>
      <c r="S1495" s="226"/>
      <c r="T1495" s="235"/>
      <c r="U1495" s="170"/>
    </row>
    <row r="1496" spans="1:21" ht="15.75" hidden="1" outlineLevel="3">
      <c r="A1496" s="162"/>
      <c r="B1496" s="152"/>
      <c r="C1496" s="236" t="s">
        <v>491</v>
      </c>
      <c r="D1496" s="344"/>
      <c r="E1496" s="164"/>
      <c r="F1496" s="165"/>
      <c r="G1496" s="172"/>
      <c r="H1496" s="164"/>
      <c r="I1496" s="164"/>
      <c r="J1496" s="164"/>
      <c r="K1496" s="223"/>
      <c r="L1496" s="234"/>
      <c r="M1496" s="202"/>
      <c r="N1496" s="250"/>
      <c r="O1496" s="203"/>
      <c r="P1496" s="248"/>
      <c r="Q1496" s="201">
        <v>142000</v>
      </c>
      <c r="R1496" s="255">
        <f>Q1496*1.73</f>
        <v>245660</v>
      </c>
      <c r="S1496" s="159">
        <f t="shared" ref="S1496" si="98">SUM(L1496,N1496,P1496,R1496)</f>
        <v>245660</v>
      </c>
      <c r="T1496" s="235"/>
      <c r="U1496" s="170" t="s">
        <v>670</v>
      </c>
    </row>
    <row r="1497" spans="1:21" ht="15.75" hidden="1" outlineLevel="3">
      <c r="A1497" s="162"/>
      <c r="B1497" s="152"/>
      <c r="C1497" s="236" t="s">
        <v>492</v>
      </c>
      <c r="D1497" s="344"/>
      <c r="E1497" s="164"/>
      <c r="F1497" s="165"/>
      <c r="G1497" s="172"/>
      <c r="H1497" s="164"/>
      <c r="I1497" s="164"/>
      <c r="J1497" s="164"/>
      <c r="K1497" s="223"/>
      <c r="L1497" s="234"/>
      <c r="M1497" s="202"/>
      <c r="N1497" s="250"/>
      <c r="O1497" s="203"/>
      <c r="P1497" s="248"/>
      <c r="Q1497" s="201"/>
      <c r="R1497" s="255"/>
      <c r="S1497" s="226"/>
      <c r="T1497" s="235"/>
      <c r="U1497" s="170"/>
    </row>
    <row r="1498" spans="1:21" ht="15.75" hidden="1" outlineLevel="3">
      <c r="A1498" s="162"/>
      <c r="B1498" s="152"/>
      <c r="C1498" s="236" t="s">
        <v>493</v>
      </c>
      <c r="D1498" s="344"/>
      <c r="E1498" s="164"/>
      <c r="F1498" s="165"/>
      <c r="G1498" s="172"/>
      <c r="H1498" s="164"/>
      <c r="I1498" s="164"/>
      <c r="J1498" s="164"/>
      <c r="K1498" s="223"/>
      <c r="L1498" s="234"/>
      <c r="M1498" s="202"/>
      <c r="N1498" s="250"/>
      <c r="O1498" s="203"/>
      <c r="P1498" s="248"/>
      <c r="Q1498" s="201"/>
      <c r="R1498" s="255"/>
      <c r="S1498" s="226"/>
      <c r="T1498" s="235"/>
      <c r="U1498" s="170"/>
    </row>
    <row r="1499" spans="1:21" ht="15.75" hidden="1" outlineLevel="3">
      <c r="A1499" s="162"/>
      <c r="B1499" s="152"/>
      <c r="C1499" s="236" t="s">
        <v>494</v>
      </c>
      <c r="D1499" s="344"/>
      <c r="E1499" s="164"/>
      <c r="F1499" s="165"/>
      <c r="G1499" s="172"/>
      <c r="H1499" s="164"/>
      <c r="I1499" s="164"/>
      <c r="J1499" s="164"/>
      <c r="K1499" s="223"/>
      <c r="L1499" s="234"/>
      <c r="M1499" s="202"/>
      <c r="N1499" s="250"/>
      <c r="O1499" s="203"/>
      <c r="P1499" s="248"/>
      <c r="Q1499" s="201"/>
      <c r="R1499" s="255"/>
      <c r="S1499" s="226"/>
      <c r="T1499" s="235"/>
      <c r="U1499" s="161"/>
    </row>
    <row r="1500" spans="1:21" ht="15.75" hidden="1" outlineLevel="3">
      <c r="A1500" s="162"/>
      <c r="B1500" s="152"/>
      <c r="C1500" s="151" t="s">
        <v>507</v>
      </c>
      <c r="D1500" s="339"/>
      <c r="E1500" s="164"/>
      <c r="F1500" s="165"/>
      <c r="G1500" s="172"/>
      <c r="H1500" s="164"/>
      <c r="I1500" s="164"/>
      <c r="J1500" s="164"/>
      <c r="K1500" s="223"/>
      <c r="L1500" s="234"/>
      <c r="M1500" s="202"/>
      <c r="N1500" s="250"/>
      <c r="O1500" s="203"/>
      <c r="P1500" s="248"/>
      <c r="Q1500" s="201"/>
      <c r="R1500" s="255"/>
      <c r="S1500" s="226"/>
      <c r="T1500" s="235"/>
      <c r="U1500" s="170"/>
    </row>
    <row r="1501" spans="1:21" ht="15.75" hidden="1" outlineLevel="3">
      <c r="A1501" s="162"/>
      <c r="B1501" s="152"/>
      <c r="C1501" s="174" t="s">
        <v>496</v>
      </c>
      <c r="D1501" s="340"/>
      <c r="E1501" s="164"/>
      <c r="F1501" s="165"/>
      <c r="G1501" s="172"/>
      <c r="H1501" s="164"/>
      <c r="I1501" s="164"/>
      <c r="J1501" s="164"/>
      <c r="K1501" s="223"/>
      <c r="L1501" s="234"/>
      <c r="M1501" s="202"/>
      <c r="N1501" s="250"/>
      <c r="O1501" s="203"/>
      <c r="P1501" s="248"/>
      <c r="Q1501" s="201"/>
      <c r="R1501" s="255"/>
      <c r="S1501" s="226"/>
      <c r="T1501" s="235"/>
      <c r="U1501" s="170"/>
    </row>
    <row r="1502" spans="1:21" ht="15.75" hidden="1" outlineLevel="3">
      <c r="A1502" s="162"/>
      <c r="B1502" s="152"/>
      <c r="C1502" s="174" t="s">
        <v>497</v>
      </c>
      <c r="D1502" s="340"/>
      <c r="E1502" s="164"/>
      <c r="F1502" s="165"/>
      <c r="G1502" s="172"/>
      <c r="H1502" s="164"/>
      <c r="I1502" s="164"/>
      <c r="J1502" s="164"/>
      <c r="K1502" s="223"/>
      <c r="L1502" s="234"/>
      <c r="M1502" s="202"/>
      <c r="N1502" s="250"/>
      <c r="O1502" s="203"/>
      <c r="P1502" s="248"/>
      <c r="Q1502" s="201"/>
      <c r="R1502" s="255"/>
      <c r="S1502" s="226"/>
      <c r="T1502" s="235"/>
      <c r="U1502" s="170"/>
    </row>
    <row r="1503" spans="1:21" ht="15.75" hidden="1" outlineLevel="3">
      <c r="A1503" s="162"/>
      <c r="B1503" s="152"/>
      <c r="C1503" s="174" t="s">
        <v>499</v>
      </c>
      <c r="D1503" s="340"/>
      <c r="E1503" s="164"/>
      <c r="F1503" s="165"/>
      <c r="G1503" s="172"/>
      <c r="H1503" s="164"/>
      <c r="I1503" s="164"/>
      <c r="J1503" s="164"/>
      <c r="K1503" s="223"/>
      <c r="L1503" s="234"/>
      <c r="M1503" s="202"/>
      <c r="N1503" s="250"/>
      <c r="O1503" s="203"/>
      <c r="P1503" s="248"/>
      <c r="Q1503" s="201"/>
      <c r="R1503" s="255"/>
      <c r="S1503" s="226"/>
      <c r="T1503" s="235"/>
      <c r="U1503" s="170"/>
    </row>
    <row r="1504" spans="1:21" ht="15.75" hidden="1" outlineLevel="3">
      <c r="A1504" s="162"/>
      <c r="B1504" s="152"/>
      <c r="C1504" s="174" t="s">
        <v>379</v>
      </c>
      <c r="D1504" s="340"/>
      <c r="E1504" s="164"/>
      <c r="F1504" s="165"/>
      <c r="G1504" s="172"/>
      <c r="H1504" s="164"/>
      <c r="I1504" s="164"/>
      <c r="J1504" s="164"/>
      <c r="K1504" s="223"/>
      <c r="L1504" s="234"/>
      <c r="M1504" s="202"/>
      <c r="N1504" s="250"/>
      <c r="O1504" s="203"/>
      <c r="P1504" s="248"/>
      <c r="Q1504" s="171"/>
      <c r="R1504" s="255"/>
      <c r="S1504" s="226"/>
      <c r="T1504" s="235"/>
      <c r="U1504" s="161"/>
    </row>
    <row r="1505" spans="1:21" ht="15.75" hidden="1" outlineLevel="2" collapsed="1">
      <c r="A1505" s="162"/>
      <c r="B1505" s="152"/>
      <c r="C1505" s="151" t="s">
        <v>669</v>
      </c>
      <c r="D1505" s="339"/>
      <c r="E1505" s="164"/>
      <c r="F1505" s="165"/>
      <c r="G1505" s="172"/>
      <c r="H1505" s="164"/>
      <c r="I1505" s="164"/>
      <c r="J1505" s="164"/>
      <c r="K1505" s="223"/>
      <c r="L1505" s="234"/>
      <c r="M1505" s="202"/>
      <c r="N1505" s="244"/>
      <c r="O1505" s="203"/>
      <c r="P1505" s="248"/>
      <c r="Q1505" s="259">
        <f>SUM(Q1479:Q1504)</f>
        <v>142000</v>
      </c>
      <c r="R1505" s="255">
        <f>Q1505*1.73</f>
        <v>245660</v>
      </c>
      <c r="S1505" s="159">
        <f t="shared" ref="S1505" si="99">SUM(L1505,N1505,P1505,R1505)</f>
        <v>245660</v>
      </c>
      <c r="T1505" s="235"/>
      <c r="U1505" s="161"/>
    </row>
    <row r="1506" spans="1:21" s="233" customFormat="1" hidden="1" outlineLevel="3">
      <c r="A1506" s="232"/>
      <c r="B1506" s="151" t="s">
        <v>671</v>
      </c>
      <c r="C1506" s="171"/>
      <c r="D1506" s="343"/>
      <c r="E1506" s="157"/>
      <c r="F1506" s="158"/>
      <c r="G1506" s="197"/>
      <c r="H1506" s="157"/>
      <c r="I1506" s="157"/>
      <c r="J1506" s="157"/>
      <c r="K1506" s="215"/>
      <c r="L1506" s="155"/>
      <c r="M1506" s="156"/>
      <c r="N1506" s="250"/>
      <c r="O1506" s="157"/>
      <c r="P1506" s="248"/>
      <c r="Q1506" s="158"/>
      <c r="R1506" s="255"/>
      <c r="S1506" s="159"/>
      <c r="T1506" s="225"/>
      <c r="U1506" s="170"/>
    </row>
    <row r="1507" spans="1:21" ht="15.75" hidden="1" outlineLevel="3">
      <c r="A1507" s="162"/>
      <c r="B1507" s="152"/>
      <c r="C1507" s="151" t="s">
        <v>503</v>
      </c>
      <c r="D1507" s="339"/>
      <c r="E1507" s="164"/>
      <c r="F1507" s="165"/>
      <c r="G1507" s="172"/>
      <c r="H1507" s="164"/>
      <c r="I1507" s="164"/>
      <c r="J1507" s="164"/>
      <c r="K1507" s="223"/>
      <c r="L1507" s="234"/>
      <c r="M1507" s="202"/>
      <c r="N1507" s="250"/>
      <c r="O1507" s="203"/>
      <c r="P1507" s="248"/>
      <c r="Q1507" s="201"/>
      <c r="R1507" s="255"/>
      <c r="S1507" s="226"/>
      <c r="T1507" s="235"/>
      <c r="U1507" s="170"/>
    </row>
    <row r="1508" spans="1:21" ht="15.75" hidden="1" outlineLevel="3">
      <c r="A1508" s="162"/>
      <c r="B1508" s="152"/>
      <c r="C1508" s="236" t="s">
        <v>520</v>
      </c>
      <c r="D1508" s="344"/>
      <c r="E1508" s="164"/>
      <c r="F1508" s="165"/>
      <c r="G1508" s="172"/>
      <c r="H1508" s="164"/>
      <c r="I1508" s="164"/>
      <c r="J1508" s="164"/>
      <c r="K1508" s="223"/>
      <c r="L1508" s="234"/>
      <c r="M1508" s="202"/>
      <c r="N1508" s="250"/>
      <c r="O1508" s="203"/>
      <c r="P1508" s="248"/>
      <c r="Q1508" s="201"/>
      <c r="R1508" s="255"/>
      <c r="S1508" s="226"/>
      <c r="T1508" s="235"/>
      <c r="U1508" s="170"/>
    </row>
    <row r="1509" spans="1:21" ht="15.75" hidden="1" outlineLevel="3">
      <c r="A1509" s="162"/>
      <c r="B1509" s="152"/>
      <c r="C1509" s="236" t="s">
        <v>478</v>
      </c>
      <c r="D1509" s="344"/>
      <c r="E1509" s="164"/>
      <c r="F1509" s="165"/>
      <c r="G1509" s="172"/>
      <c r="H1509" s="164"/>
      <c r="I1509" s="164"/>
      <c r="J1509" s="164"/>
      <c r="K1509" s="223"/>
      <c r="L1509" s="234"/>
      <c r="M1509" s="202"/>
      <c r="N1509" s="250"/>
      <c r="O1509" s="203"/>
      <c r="P1509" s="248"/>
      <c r="Q1509" s="201"/>
      <c r="R1509" s="255"/>
      <c r="S1509" s="226"/>
      <c r="T1509" s="235"/>
      <c r="U1509" s="170"/>
    </row>
    <row r="1510" spans="1:21" ht="15.75" hidden="1" outlineLevel="3">
      <c r="A1510" s="162"/>
      <c r="B1510" s="152"/>
      <c r="C1510" s="236" t="s">
        <v>479</v>
      </c>
      <c r="D1510" s="344"/>
      <c r="E1510" s="164"/>
      <c r="F1510" s="165"/>
      <c r="G1510" s="172"/>
      <c r="H1510" s="164"/>
      <c r="I1510" s="164"/>
      <c r="J1510" s="164"/>
      <c r="K1510" s="223"/>
      <c r="L1510" s="220"/>
      <c r="M1510" s="204"/>
      <c r="N1510" s="250"/>
      <c r="O1510" s="203"/>
      <c r="P1510" s="248"/>
      <c r="Q1510" s="201"/>
      <c r="R1510" s="255"/>
      <c r="S1510" s="226"/>
      <c r="T1510" s="235"/>
      <c r="U1510" s="170"/>
    </row>
    <row r="1511" spans="1:21" ht="15.75" hidden="1" outlineLevel="3">
      <c r="A1511" s="162"/>
      <c r="B1511" s="152"/>
      <c r="C1511" s="236" t="s">
        <v>480</v>
      </c>
      <c r="D1511" s="344"/>
      <c r="E1511" s="164"/>
      <c r="F1511" s="165"/>
      <c r="G1511" s="172"/>
      <c r="H1511" s="164"/>
      <c r="I1511" s="164"/>
      <c r="J1511" s="164"/>
      <c r="K1511" s="223"/>
      <c r="L1511" s="234"/>
      <c r="M1511" s="202"/>
      <c r="N1511" s="250"/>
      <c r="O1511" s="203"/>
      <c r="P1511" s="248"/>
      <c r="Q1511" s="201"/>
      <c r="R1511" s="255"/>
      <c r="S1511" s="226"/>
      <c r="T1511" s="235"/>
      <c r="U1511" s="170"/>
    </row>
    <row r="1512" spans="1:21" ht="15.75" hidden="1" outlineLevel="3">
      <c r="A1512" s="162"/>
      <c r="B1512" s="152"/>
      <c r="C1512" s="236" t="s">
        <v>512</v>
      </c>
      <c r="D1512" s="344"/>
      <c r="E1512" s="164"/>
      <c r="F1512" s="165"/>
      <c r="G1512" s="172"/>
      <c r="H1512" s="164"/>
      <c r="I1512" s="164"/>
      <c r="J1512" s="164"/>
      <c r="K1512" s="223"/>
      <c r="L1512" s="234"/>
      <c r="M1512" s="202"/>
      <c r="N1512" s="250"/>
      <c r="O1512" s="203"/>
      <c r="P1512" s="248"/>
      <c r="Q1512" s="201"/>
      <c r="R1512" s="255"/>
      <c r="S1512" s="226"/>
      <c r="T1512" s="235"/>
      <c r="U1512" s="170"/>
    </row>
    <row r="1513" spans="1:21" ht="15.75" hidden="1" outlineLevel="3">
      <c r="A1513" s="162"/>
      <c r="B1513" s="152"/>
      <c r="C1513" s="151" t="s">
        <v>504</v>
      </c>
      <c r="D1513" s="339"/>
      <c r="E1513" s="164"/>
      <c r="F1513" s="165"/>
      <c r="G1513" s="172"/>
      <c r="H1513" s="164"/>
      <c r="I1513" s="164"/>
      <c r="J1513" s="164"/>
      <c r="K1513" s="223"/>
      <c r="L1513" s="234"/>
      <c r="M1513" s="202"/>
      <c r="N1513" s="250"/>
      <c r="O1513" s="203"/>
      <c r="P1513" s="248"/>
      <c r="Q1513" s="201"/>
      <c r="R1513" s="255"/>
      <c r="S1513" s="226"/>
      <c r="T1513" s="235"/>
      <c r="U1513" s="170"/>
    </row>
    <row r="1514" spans="1:21" ht="15.75" hidden="1" outlineLevel="3">
      <c r="A1514" s="162"/>
      <c r="B1514" s="152"/>
      <c r="C1514" s="236" t="s">
        <v>483</v>
      </c>
      <c r="D1514" s="344"/>
      <c r="E1514" s="164"/>
      <c r="F1514" s="165"/>
      <c r="G1514" s="172"/>
      <c r="H1514" s="164"/>
      <c r="I1514" s="164"/>
      <c r="J1514" s="164"/>
      <c r="K1514" s="223"/>
      <c r="L1514" s="234"/>
      <c r="M1514" s="202"/>
      <c r="N1514" s="250"/>
      <c r="O1514" s="203"/>
      <c r="P1514" s="248"/>
      <c r="Q1514" s="201"/>
      <c r="R1514" s="255"/>
      <c r="S1514" s="226"/>
      <c r="T1514" s="235"/>
      <c r="U1514" s="170"/>
    </row>
    <row r="1515" spans="1:21" ht="15.75" hidden="1" outlineLevel="3">
      <c r="A1515" s="162"/>
      <c r="B1515" s="152"/>
      <c r="C1515" s="236" t="s">
        <v>484</v>
      </c>
      <c r="D1515" s="344"/>
      <c r="E1515" s="164"/>
      <c r="F1515" s="165"/>
      <c r="G1515" s="172"/>
      <c r="H1515" s="164"/>
      <c r="I1515" s="164"/>
      <c r="J1515" s="164"/>
      <c r="K1515" s="223"/>
      <c r="L1515" s="234"/>
      <c r="M1515" s="202"/>
      <c r="N1515" s="250"/>
      <c r="O1515" s="203"/>
      <c r="P1515" s="248"/>
      <c r="Q1515" s="201"/>
      <c r="R1515" s="255"/>
      <c r="S1515" s="226"/>
      <c r="T1515" s="235"/>
      <c r="U1515" s="170"/>
    </row>
    <row r="1516" spans="1:21" ht="15.75" hidden="1" outlineLevel="3">
      <c r="A1516" s="162"/>
      <c r="B1516" s="152"/>
      <c r="C1516" s="236" t="s">
        <v>479</v>
      </c>
      <c r="D1516" s="344"/>
      <c r="E1516" s="164"/>
      <c r="F1516" s="165"/>
      <c r="G1516" s="172"/>
      <c r="H1516" s="164"/>
      <c r="I1516" s="164"/>
      <c r="J1516" s="164"/>
      <c r="K1516" s="223"/>
      <c r="L1516" s="234"/>
      <c r="M1516" s="202"/>
      <c r="N1516" s="250"/>
      <c r="O1516" s="203"/>
      <c r="P1516" s="248"/>
      <c r="Q1516" s="201"/>
      <c r="R1516" s="255"/>
      <c r="S1516" s="226"/>
      <c r="T1516" s="235"/>
      <c r="U1516" s="170"/>
    </row>
    <row r="1517" spans="1:21" ht="15.75" hidden="1" outlineLevel="3">
      <c r="A1517" s="162"/>
      <c r="B1517" s="152"/>
      <c r="C1517" s="236" t="s">
        <v>485</v>
      </c>
      <c r="D1517" s="344"/>
      <c r="E1517" s="164"/>
      <c r="F1517" s="165"/>
      <c r="G1517" s="172"/>
      <c r="H1517" s="164"/>
      <c r="I1517" s="164"/>
      <c r="J1517" s="164"/>
      <c r="K1517" s="223"/>
      <c r="L1517" s="234"/>
      <c r="M1517" s="202"/>
      <c r="N1517" s="250"/>
      <c r="O1517" s="203"/>
      <c r="P1517" s="248"/>
      <c r="Q1517" s="201"/>
      <c r="R1517" s="255"/>
      <c r="S1517" s="226"/>
      <c r="T1517" s="235"/>
      <c r="U1517" s="170"/>
    </row>
    <row r="1518" spans="1:21" ht="15.75" hidden="1" outlineLevel="3">
      <c r="A1518" s="162"/>
      <c r="B1518" s="152"/>
      <c r="C1518" s="151" t="s">
        <v>505</v>
      </c>
      <c r="D1518" s="339"/>
      <c r="E1518" s="164"/>
      <c r="F1518" s="165"/>
      <c r="G1518" s="172"/>
      <c r="H1518" s="164"/>
      <c r="I1518" s="164"/>
      <c r="J1518" s="164"/>
      <c r="K1518" s="223"/>
      <c r="L1518" s="234"/>
      <c r="M1518" s="202"/>
      <c r="N1518" s="250"/>
      <c r="O1518" s="203"/>
      <c r="P1518" s="248"/>
      <c r="Q1518" s="201"/>
      <c r="R1518" s="255"/>
      <c r="S1518" s="226"/>
      <c r="T1518" s="235"/>
      <c r="U1518" s="170"/>
    </row>
    <row r="1519" spans="1:21" ht="15.75" hidden="1" outlineLevel="3">
      <c r="A1519" s="162"/>
      <c r="B1519" s="152"/>
      <c r="C1519" s="236" t="s">
        <v>487</v>
      </c>
      <c r="D1519" s="344"/>
      <c r="E1519" s="164"/>
      <c r="F1519" s="165"/>
      <c r="G1519" s="172"/>
      <c r="H1519" s="164"/>
      <c r="I1519" s="164"/>
      <c r="J1519" s="164"/>
      <c r="K1519" s="223"/>
      <c r="L1519" s="234"/>
      <c r="M1519" s="202"/>
      <c r="N1519" s="250"/>
      <c r="O1519" s="203"/>
      <c r="P1519" s="248"/>
      <c r="Q1519" s="201"/>
      <c r="R1519" s="255"/>
      <c r="S1519" s="226"/>
      <c r="T1519" s="235"/>
      <c r="U1519" s="170"/>
    </row>
    <row r="1520" spans="1:21" ht="15.75" hidden="1" outlineLevel="3">
      <c r="A1520" s="162"/>
      <c r="B1520" s="152"/>
      <c r="C1520" s="236" t="s">
        <v>479</v>
      </c>
      <c r="D1520" s="344"/>
      <c r="E1520" s="164"/>
      <c r="F1520" s="165"/>
      <c r="G1520" s="172"/>
      <c r="H1520" s="164"/>
      <c r="I1520" s="164"/>
      <c r="J1520" s="164"/>
      <c r="K1520" s="223"/>
      <c r="L1520" s="234"/>
      <c r="M1520" s="202"/>
      <c r="N1520" s="250"/>
      <c r="O1520" s="203"/>
      <c r="P1520" s="248"/>
      <c r="Q1520" s="201"/>
      <c r="R1520" s="255"/>
      <c r="S1520" s="226"/>
      <c r="T1520" s="235"/>
      <c r="U1520" s="170"/>
    </row>
    <row r="1521" spans="1:21" ht="15.75" hidden="1" outlineLevel="3">
      <c r="A1521" s="162"/>
      <c r="B1521" s="152"/>
      <c r="C1521" s="236" t="s">
        <v>488</v>
      </c>
      <c r="D1521" s="344"/>
      <c r="E1521" s="164"/>
      <c r="F1521" s="165"/>
      <c r="G1521" s="172"/>
      <c r="H1521" s="164"/>
      <c r="I1521" s="164"/>
      <c r="J1521" s="164"/>
      <c r="K1521" s="223"/>
      <c r="L1521" s="234"/>
      <c r="M1521" s="202"/>
      <c r="N1521" s="250"/>
      <c r="O1521" s="203"/>
      <c r="P1521" s="248"/>
      <c r="Q1521" s="201"/>
      <c r="R1521" s="255"/>
      <c r="S1521" s="226"/>
      <c r="T1521" s="235"/>
      <c r="U1521" s="170"/>
    </row>
    <row r="1522" spans="1:21" ht="15.75" hidden="1" outlineLevel="3">
      <c r="A1522" s="162"/>
      <c r="B1522" s="152"/>
      <c r="C1522" s="236" t="s">
        <v>489</v>
      </c>
      <c r="D1522" s="344"/>
      <c r="E1522" s="164"/>
      <c r="F1522" s="165"/>
      <c r="G1522" s="172"/>
      <c r="H1522" s="164"/>
      <c r="I1522" s="164"/>
      <c r="J1522" s="164"/>
      <c r="K1522" s="223"/>
      <c r="L1522" s="234"/>
      <c r="M1522" s="202"/>
      <c r="N1522" s="250"/>
      <c r="O1522" s="203"/>
      <c r="P1522" s="248"/>
      <c r="Q1522" s="201"/>
      <c r="R1522" s="255"/>
      <c r="S1522" s="226"/>
      <c r="T1522" s="235"/>
      <c r="U1522" s="170"/>
    </row>
    <row r="1523" spans="1:21" ht="15.75" hidden="1" outlineLevel="3">
      <c r="A1523" s="162"/>
      <c r="B1523" s="152"/>
      <c r="C1523" s="151" t="s">
        <v>506</v>
      </c>
      <c r="D1523" s="339"/>
      <c r="E1523" s="164"/>
      <c r="F1523" s="165"/>
      <c r="G1523" s="172"/>
      <c r="H1523" s="164"/>
      <c r="I1523" s="164"/>
      <c r="J1523" s="164"/>
      <c r="K1523" s="223"/>
      <c r="L1523" s="234"/>
      <c r="M1523" s="202"/>
      <c r="N1523" s="250"/>
      <c r="O1523" s="203"/>
      <c r="P1523" s="248"/>
      <c r="Q1523" s="201"/>
      <c r="R1523" s="255"/>
      <c r="S1523" s="226"/>
      <c r="T1523" s="235"/>
      <c r="U1523" s="170"/>
    </row>
    <row r="1524" spans="1:21" ht="15.75" hidden="1" outlineLevel="3">
      <c r="A1524" s="162"/>
      <c r="B1524" s="152"/>
      <c r="C1524" s="236" t="s">
        <v>491</v>
      </c>
      <c r="D1524" s="344"/>
      <c r="E1524" s="164"/>
      <c r="F1524" s="165"/>
      <c r="G1524" s="172"/>
      <c r="H1524" s="164"/>
      <c r="I1524" s="164"/>
      <c r="J1524" s="164"/>
      <c r="K1524" s="223"/>
      <c r="L1524" s="234"/>
      <c r="M1524" s="202"/>
      <c r="N1524" s="250"/>
      <c r="O1524" s="203"/>
      <c r="P1524" s="248"/>
      <c r="Q1524" s="201"/>
      <c r="R1524" s="255"/>
      <c r="S1524" s="226"/>
      <c r="T1524" s="235"/>
      <c r="U1524" s="170"/>
    </row>
    <row r="1525" spans="1:21" ht="15.75" hidden="1" outlineLevel="3">
      <c r="A1525" s="162"/>
      <c r="B1525" s="152"/>
      <c r="C1525" s="236" t="s">
        <v>492</v>
      </c>
      <c r="D1525" s="344"/>
      <c r="E1525" s="164"/>
      <c r="F1525" s="165"/>
      <c r="G1525" s="172"/>
      <c r="H1525" s="164"/>
      <c r="I1525" s="164"/>
      <c r="J1525" s="164"/>
      <c r="K1525" s="223"/>
      <c r="L1525" s="234"/>
      <c r="M1525" s="202"/>
      <c r="N1525" s="250"/>
      <c r="O1525" s="203"/>
      <c r="P1525" s="248"/>
      <c r="Q1525" s="201"/>
      <c r="R1525" s="255"/>
      <c r="S1525" s="226"/>
      <c r="T1525" s="235"/>
      <c r="U1525" s="170"/>
    </row>
    <row r="1526" spans="1:21" ht="15.75" hidden="1" outlineLevel="3">
      <c r="A1526" s="162"/>
      <c r="B1526" s="152"/>
      <c r="C1526" s="236" t="s">
        <v>493</v>
      </c>
      <c r="D1526" s="344"/>
      <c r="E1526" s="164"/>
      <c r="F1526" s="165"/>
      <c r="G1526" s="172"/>
      <c r="H1526" s="164"/>
      <c r="I1526" s="164"/>
      <c r="J1526" s="164"/>
      <c r="K1526" s="223"/>
      <c r="L1526" s="234"/>
      <c r="M1526" s="202"/>
      <c r="N1526" s="250"/>
      <c r="O1526" s="203"/>
      <c r="P1526" s="248"/>
      <c r="Q1526" s="201"/>
      <c r="R1526" s="255"/>
      <c r="S1526" s="226"/>
      <c r="T1526" s="235"/>
      <c r="U1526" s="170"/>
    </row>
    <row r="1527" spans="1:21" ht="15.75" hidden="1" outlineLevel="3">
      <c r="A1527" s="162"/>
      <c r="B1527" s="152"/>
      <c r="C1527" s="236" t="s">
        <v>494</v>
      </c>
      <c r="D1527" s="344"/>
      <c r="E1527" s="164"/>
      <c r="F1527" s="165"/>
      <c r="G1527" s="172"/>
      <c r="H1527" s="164"/>
      <c r="I1527" s="164"/>
      <c r="J1527" s="164"/>
      <c r="K1527" s="223"/>
      <c r="L1527" s="234"/>
      <c r="M1527" s="202"/>
      <c r="N1527" s="250"/>
      <c r="O1527" s="203"/>
      <c r="P1527" s="248"/>
      <c r="Q1527" s="201"/>
      <c r="R1527" s="255"/>
      <c r="S1527" s="226"/>
      <c r="T1527" s="235"/>
      <c r="U1527" s="161"/>
    </row>
    <row r="1528" spans="1:21" ht="15.75" hidden="1" outlineLevel="3">
      <c r="A1528" s="162"/>
      <c r="B1528" s="152"/>
      <c r="C1528" s="151" t="s">
        <v>507</v>
      </c>
      <c r="D1528" s="339"/>
      <c r="E1528" s="164"/>
      <c r="F1528" s="165"/>
      <c r="G1528" s="172"/>
      <c r="H1528" s="164"/>
      <c r="I1528" s="164"/>
      <c r="J1528" s="164"/>
      <c r="K1528" s="223"/>
      <c r="L1528" s="234"/>
      <c r="M1528" s="202"/>
      <c r="N1528" s="250"/>
      <c r="O1528" s="203"/>
      <c r="P1528" s="248"/>
      <c r="Q1528" s="201"/>
      <c r="R1528" s="255"/>
      <c r="S1528" s="226"/>
      <c r="T1528" s="235"/>
      <c r="U1528" s="170"/>
    </row>
    <row r="1529" spans="1:21" ht="15.75" hidden="1" outlineLevel="3">
      <c r="A1529" s="162"/>
      <c r="B1529" s="152"/>
      <c r="C1529" s="174" t="s">
        <v>496</v>
      </c>
      <c r="D1529" s="340"/>
      <c r="E1529" s="164"/>
      <c r="F1529" s="165"/>
      <c r="G1529" s="172"/>
      <c r="H1529" s="164"/>
      <c r="I1529" s="164"/>
      <c r="J1529" s="164"/>
      <c r="K1529" s="223"/>
      <c r="L1529" s="234"/>
      <c r="M1529" s="202"/>
      <c r="N1529" s="250"/>
      <c r="O1529" s="203"/>
      <c r="P1529" s="248"/>
      <c r="Q1529" s="201"/>
      <c r="R1529" s="255"/>
      <c r="S1529" s="226"/>
      <c r="T1529" s="235"/>
      <c r="U1529" s="170"/>
    </row>
    <row r="1530" spans="1:21" ht="15.75" hidden="1" outlineLevel="3">
      <c r="A1530" s="162"/>
      <c r="B1530" s="152"/>
      <c r="C1530" s="174" t="s">
        <v>497</v>
      </c>
      <c r="D1530" s="340"/>
      <c r="E1530" s="164"/>
      <c r="F1530" s="165"/>
      <c r="G1530" s="172"/>
      <c r="H1530" s="164"/>
      <c r="I1530" s="164"/>
      <c r="J1530" s="164"/>
      <c r="K1530" s="223"/>
      <c r="L1530" s="234"/>
      <c r="M1530" s="202"/>
      <c r="N1530" s="250"/>
      <c r="O1530" s="203"/>
      <c r="P1530" s="248"/>
      <c r="Q1530" s="201"/>
      <c r="R1530" s="255"/>
      <c r="S1530" s="226"/>
      <c r="T1530" s="235"/>
      <c r="U1530" s="170"/>
    </row>
    <row r="1531" spans="1:21" ht="15.75" hidden="1" outlineLevel="3">
      <c r="A1531" s="162"/>
      <c r="B1531" s="152"/>
      <c r="C1531" s="174" t="s">
        <v>499</v>
      </c>
      <c r="D1531" s="340"/>
      <c r="E1531" s="164"/>
      <c r="F1531" s="165"/>
      <c r="G1531" s="172"/>
      <c r="H1531" s="164"/>
      <c r="I1531" s="164"/>
      <c r="J1531" s="164"/>
      <c r="K1531" s="223"/>
      <c r="L1531" s="234"/>
      <c r="M1531" s="202"/>
      <c r="N1531" s="250"/>
      <c r="O1531" s="203"/>
      <c r="P1531" s="248"/>
      <c r="Q1531" s="201"/>
      <c r="R1531" s="255"/>
      <c r="S1531" s="226"/>
      <c r="T1531" s="235"/>
      <c r="U1531" s="170"/>
    </row>
    <row r="1532" spans="1:21" ht="15.75" hidden="1" outlineLevel="3">
      <c r="A1532" s="162"/>
      <c r="B1532" s="152"/>
      <c r="C1532" s="174" t="s">
        <v>379</v>
      </c>
      <c r="D1532" s="340"/>
      <c r="E1532" s="164"/>
      <c r="F1532" s="165"/>
      <c r="G1532" s="172"/>
      <c r="H1532" s="164"/>
      <c r="I1532" s="164"/>
      <c r="J1532" s="164"/>
      <c r="K1532" s="223"/>
      <c r="L1532" s="234"/>
      <c r="M1532" s="202"/>
      <c r="N1532" s="250"/>
      <c r="O1532" s="203"/>
      <c r="P1532" s="248"/>
      <c r="Q1532" s="171"/>
      <c r="R1532" s="255"/>
      <c r="S1532" s="226"/>
      <c r="T1532" s="235"/>
      <c r="U1532" s="161"/>
    </row>
    <row r="1533" spans="1:21" s="233" customFormat="1" hidden="1" outlineLevel="3">
      <c r="A1533" s="232"/>
      <c r="B1533" s="171"/>
      <c r="C1533" s="171" t="s">
        <v>662</v>
      </c>
      <c r="D1533" s="343"/>
      <c r="E1533" s="157"/>
      <c r="F1533" s="158"/>
      <c r="G1533" s="197"/>
      <c r="H1533" s="157"/>
      <c r="I1533" s="157"/>
      <c r="J1533" s="157"/>
      <c r="K1533" s="215"/>
      <c r="L1533" s="155"/>
      <c r="M1533" s="156"/>
      <c r="N1533" s="250"/>
      <c r="O1533" s="157"/>
      <c r="P1533" s="248"/>
      <c r="Q1533" s="158">
        <v>350000</v>
      </c>
      <c r="R1533" s="255">
        <f>Q1533*1.73</f>
        <v>605500</v>
      </c>
      <c r="S1533" s="159">
        <f t="shared" ref="S1533:S1534" si="100">SUM(L1533,N1533,P1533,R1533)</f>
        <v>605500</v>
      </c>
      <c r="T1533" s="225"/>
      <c r="U1533" s="170"/>
    </row>
    <row r="1534" spans="1:21" s="233" customFormat="1" hidden="1" outlineLevel="2" collapsed="1">
      <c r="A1534" s="232"/>
      <c r="B1534" s="171"/>
      <c r="C1534" s="151" t="s">
        <v>671</v>
      </c>
      <c r="D1534" s="339"/>
      <c r="E1534" s="157"/>
      <c r="F1534" s="158"/>
      <c r="G1534" s="197"/>
      <c r="H1534" s="157"/>
      <c r="I1534" s="157"/>
      <c r="J1534" s="157"/>
      <c r="K1534" s="215"/>
      <c r="L1534" s="155"/>
      <c r="M1534" s="156"/>
      <c r="N1534" s="244"/>
      <c r="O1534" s="157"/>
      <c r="P1534" s="248"/>
      <c r="Q1534" s="158">
        <f>SUM(Q1533)</f>
        <v>350000</v>
      </c>
      <c r="R1534" s="255">
        <f>Q1534*1.73</f>
        <v>605500</v>
      </c>
      <c r="S1534" s="159">
        <f t="shared" si="100"/>
        <v>605500</v>
      </c>
      <c r="T1534" s="225"/>
      <c r="U1534" s="170" t="s">
        <v>600</v>
      </c>
    </row>
    <row r="1535" spans="1:21" s="233" customFormat="1" hidden="1" outlineLevel="3">
      <c r="A1535" s="232"/>
      <c r="B1535" s="151" t="s">
        <v>672</v>
      </c>
      <c r="C1535" s="171"/>
      <c r="D1535" s="343"/>
      <c r="E1535" s="157"/>
      <c r="F1535" s="158"/>
      <c r="G1535" s="197"/>
      <c r="H1535" s="157"/>
      <c r="I1535" s="157"/>
      <c r="J1535" s="157"/>
      <c r="K1535" s="215"/>
      <c r="L1535" s="155"/>
      <c r="M1535" s="156"/>
      <c r="N1535" s="244"/>
      <c r="O1535" s="157"/>
      <c r="P1535" s="248"/>
      <c r="Q1535" s="158"/>
      <c r="R1535" s="255"/>
      <c r="S1535" s="159"/>
      <c r="T1535" s="225"/>
      <c r="U1535" s="170"/>
    </row>
    <row r="1536" spans="1:21" ht="15.75" hidden="1" outlineLevel="3">
      <c r="A1536" s="162"/>
      <c r="B1536" s="152"/>
      <c r="C1536" s="151" t="s">
        <v>503</v>
      </c>
      <c r="D1536" s="339"/>
      <c r="E1536" s="164"/>
      <c r="F1536" s="165"/>
      <c r="G1536" s="172"/>
      <c r="H1536" s="164"/>
      <c r="I1536" s="164"/>
      <c r="J1536" s="164"/>
      <c r="K1536" s="223"/>
      <c r="L1536" s="234"/>
      <c r="M1536" s="202"/>
      <c r="N1536" s="244"/>
      <c r="O1536" s="203"/>
      <c r="P1536" s="248"/>
      <c r="Q1536" s="201"/>
      <c r="R1536" s="255"/>
      <c r="S1536" s="226"/>
      <c r="T1536" s="235"/>
      <c r="U1536" s="170"/>
    </row>
    <row r="1537" spans="1:21" ht="15.75" hidden="1" outlineLevel="3">
      <c r="A1537" s="162"/>
      <c r="B1537" s="152"/>
      <c r="C1537" s="236" t="s">
        <v>520</v>
      </c>
      <c r="D1537" s="344"/>
      <c r="E1537" s="164"/>
      <c r="F1537" s="165"/>
      <c r="G1537" s="172"/>
      <c r="H1537" s="164"/>
      <c r="I1537" s="164"/>
      <c r="J1537" s="164"/>
      <c r="K1537" s="223"/>
      <c r="L1537" s="234"/>
      <c r="M1537" s="202"/>
      <c r="N1537" s="244"/>
      <c r="O1537" s="203"/>
      <c r="P1537" s="248"/>
      <c r="Q1537" s="201"/>
      <c r="R1537" s="255"/>
      <c r="S1537" s="226"/>
      <c r="T1537" s="235"/>
      <c r="U1537" s="170"/>
    </row>
    <row r="1538" spans="1:21" ht="15.75" hidden="1" outlineLevel="3">
      <c r="A1538" s="162"/>
      <c r="B1538" s="152"/>
      <c r="C1538" s="236" t="s">
        <v>478</v>
      </c>
      <c r="D1538" s="344"/>
      <c r="E1538" s="164"/>
      <c r="F1538" s="165"/>
      <c r="G1538" s="172"/>
      <c r="H1538" s="164"/>
      <c r="I1538" s="164"/>
      <c r="J1538" s="164"/>
      <c r="K1538" s="223"/>
      <c r="L1538" s="234"/>
      <c r="M1538" s="202"/>
      <c r="N1538" s="244"/>
      <c r="O1538" s="203"/>
      <c r="P1538" s="248"/>
      <c r="Q1538" s="201"/>
      <c r="R1538" s="255"/>
      <c r="S1538" s="226"/>
      <c r="T1538" s="235"/>
      <c r="U1538" s="170"/>
    </row>
    <row r="1539" spans="1:21" ht="15.75" hidden="1" outlineLevel="3">
      <c r="A1539" s="162"/>
      <c r="B1539" s="152"/>
      <c r="C1539" s="236" t="s">
        <v>479</v>
      </c>
      <c r="D1539" s="344"/>
      <c r="E1539" s="164"/>
      <c r="F1539" s="165"/>
      <c r="G1539" s="172"/>
      <c r="H1539" s="164"/>
      <c r="I1539" s="164"/>
      <c r="J1539" s="164"/>
      <c r="K1539" s="223"/>
      <c r="L1539" s="220"/>
      <c r="M1539" s="204"/>
      <c r="N1539" s="244"/>
      <c r="O1539" s="203"/>
      <c r="P1539" s="248"/>
      <c r="Q1539" s="201"/>
      <c r="R1539" s="255"/>
      <c r="S1539" s="226"/>
      <c r="T1539" s="235"/>
      <c r="U1539" s="170"/>
    </row>
    <row r="1540" spans="1:21" ht="15.75" hidden="1" outlineLevel="3">
      <c r="A1540" s="162"/>
      <c r="B1540" s="152"/>
      <c r="C1540" s="236" t="s">
        <v>480</v>
      </c>
      <c r="D1540" s="344"/>
      <c r="E1540" s="164"/>
      <c r="F1540" s="165"/>
      <c r="G1540" s="172"/>
      <c r="H1540" s="164"/>
      <c r="I1540" s="164"/>
      <c r="J1540" s="164"/>
      <c r="K1540" s="223"/>
      <c r="L1540" s="234"/>
      <c r="M1540" s="202"/>
      <c r="N1540" s="244"/>
      <c r="O1540" s="203"/>
      <c r="P1540" s="248"/>
      <c r="Q1540" s="201"/>
      <c r="R1540" s="255"/>
      <c r="S1540" s="226"/>
      <c r="T1540" s="235"/>
      <c r="U1540" s="170"/>
    </row>
    <row r="1541" spans="1:21" ht="15.75" hidden="1" outlineLevel="3">
      <c r="A1541" s="162"/>
      <c r="B1541" s="152"/>
      <c r="C1541" s="236" t="s">
        <v>512</v>
      </c>
      <c r="D1541" s="344"/>
      <c r="E1541" s="164"/>
      <c r="F1541" s="165"/>
      <c r="G1541" s="172"/>
      <c r="H1541" s="164"/>
      <c r="I1541" s="164"/>
      <c r="J1541" s="164"/>
      <c r="K1541" s="223"/>
      <c r="L1541" s="234"/>
      <c r="M1541" s="202"/>
      <c r="N1541" s="244"/>
      <c r="O1541" s="203"/>
      <c r="P1541" s="248"/>
      <c r="Q1541" s="201"/>
      <c r="R1541" s="255"/>
      <c r="S1541" s="226"/>
      <c r="T1541" s="235"/>
      <c r="U1541" s="170"/>
    </row>
    <row r="1542" spans="1:21" ht="15.75" hidden="1" outlineLevel="3">
      <c r="A1542" s="162"/>
      <c r="B1542" s="152"/>
      <c r="C1542" s="151" t="s">
        <v>504</v>
      </c>
      <c r="D1542" s="339"/>
      <c r="E1542" s="164"/>
      <c r="F1542" s="165"/>
      <c r="G1542" s="172"/>
      <c r="H1542" s="164"/>
      <c r="I1542" s="164"/>
      <c r="J1542" s="164"/>
      <c r="K1542" s="223"/>
      <c r="L1542" s="234"/>
      <c r="M1542" s="202"/>
      <c r="N1542" s="244"/>
      <c r="O1542" s="203"/>
      <c r="P1542" s="248"/>
      <c r="Q1542" s="201"/>
      <c r="R1542" s="255"/>
      <c r="S1542" s="226"/>
      <c r="T1542" s="235"/>
      <c r="U1542" s="170"/>
    </row>
    <row r="1543" spans="1:21" ht="15.75" hidden="1" outlineLevel="3">
      <c r="A1543" s="162"/>
      <c r="B1543" s="152"/>
      <c r="C1543" s="236" t="s">
        <v>483</v>
      </c>
      <c r="D1543" s="344"/>
      <c r="E1543" s="164"/>
      <c r="F1543" s="165"/>
      <c r="G1543" s="172"/>
      <c r="H1543" s="164"/>
      <c r="I1543" s="164"/>
      <c r="J1543" s="164"/>
      <c r="K1543" s="223"/>
      <c r="L1543" s="234"/>
      <c r="M1543" s="202"/>
      <c r="N1543" s="244"/>
      <c r="O1543" s="203"/>
      <c r="P1543" s="248"/>
      <c r="Q1543" s="201"/>
      <c r="R1543" s="255"/>
      <c r="S1543" s="226"/>
      <c r="T1543" s="235"/>
      <c r="U1543" s="170"/>
    </row>
    <row r="1544" spans="1:21" ht="15.75" hidden="1" outlineLevel="3">
      <c r="A1544" s="162"/>
      <c r="B1544" s="152"/>
      <c r="C1544" s="236" t="s">
        <v>484</v>
      </c>
      <c r="D1544" s="344"/>
      <c r="E1544" s="164"/>
      <c r="F1544" s="165"/>
      <c r="G1544" s="172"/>
      <c r="H1544" s="164"/>
      <c r="I1544" s="164"/>
      <c r="J1544" s="164"/>
      <c r="K1544" s="223"/>
      <c r="L1544" s="234"/>
      <c r="M1544" s="202"/>
      <c r="N1544" s="244"/>
      <c r="O1544" s="203"/>
      <c r="P1544" s="248"/>
      <c r="Q1544" s="201"/>
      <c r="R1544" s="255"/>
      <c r="S1544" s="226"/>
      <c r="T1544" s="235"/>
      <c r="U1544" s="170"/>
    </row>
    <row r="1545" spans="1:21" ht="15.75" hidden="1" outlineLevel="3">
      <c r="A1545" s="162"/>
      <c r="B1545" s="152"/>
      <c r="C1545" s="236" t="s">
        <v>479</v>
      </c>
      <c r="D1545" s="344"/>
      <c r="E1545" s="164"/>
      <c r="F1545" s="165"/>
      <c r="G1545" s="172"/>
      <c r="H1545" s="164"/>
      <c r="I1545" s="164"/>
      <c r="J1545" s="164"/>
      <c r="K1545" s="223"/>
      <c r="L1545" s="234"/>
      <c r="M1545" s="202"/>
      <c r="N1545" s="244"/>
      <c r="O1545" s="203"/>
      <c r="P1545" s="248"/>
      <c r="Q1545" s="201"/>
      <c r="R1545" s="255"/>
      <c r="S1545" s="226"/>
      <c r="T1545" s="235"/>
      <c r="U1545" s="170"/>
    </row>
    <row r="1546" spans="1:21" ht="15.75" hidden="1" outlineLevel="3">
      <c r="A1546" s="162"/>
      <c r="B1546" s="152"/>
      <c r="C1546" s="236" t="s">
        <v>485</v>
      </c>
      <c r="D1546" s="344"/>
      <c r="E1546" s="164"/>
      <c r="F1546" s="165"/>
      <c r="G1546" s="172"/>
      <c r="H1546" s="164"/>
      <c r="I1546" s="164"/>
      <c r="J1546" s="164"/>
      <c r="K1546" s="223"/>
      <c r="L1546" s="234"/>
      <c r="M1546" s="202"/>
      <c r="N1546" s="244"/>
      <c r="O1546" s="203"/>
      <c r="P1546" s="248"/>
      <c r="Q1546" s="201"/>
      <c r="R1546" s="255"/>
      <c r="S1546" s="226"/>
      <c r="T1546" s="235"/>
      <c r="U1546" s="170"/>
    </row>
    <row r="1547" spans="1:21" ht="15.75" hidden="1" outlineLevel="3">
      <c r="A1547" s="162"/>
      <c r="B1547" s="152"/>
      <c r="C1547" s="151" t="s">
        <v>505</v>
      </c>
      <c r="D1547" s="339"/>
      <c r="E1547" s="164"/>
      <c r="F1547" s="165"/>
      <c r="G1547" s="172"/>
      <c r="H1547" s="164"/>
      <c r="I1547" s="164"/>
      <c r="J1547" s="164"/>
      <c r="K1547" s="223"/>
      <c r="L1547" s="234"/>
      <c r="M1547" s="202"/>
      <c r="N1547" s="244"/>
      <c r="O1547" s="203"/>
      <c r="P1547" s="248"/>
      <c r="Q1547" s="201"/>
      <c r="R1547" s="255"/>
      <c r="S1547" s="226"/>
      <c r="T1547" s="235"/>
      <c r="U1547" s="170"/>
    </row>
    <row r="1548" spans="1:21" ht="15.75" hidden="1" outlineLevel="3">
      <c r="A1548" s="162"/>
      <c r="B1548" s="152"/>
      <c r="C1548" s="236" t="s">
        <v>487</v>
      </c>
      <c r="D1548" s="344"/>
      <c r="E1548" s="164"/>
      <c r="F1548" s="165"/>
      <c r="G1548" s="172"/>
      <c r="H1548" s="164"/>
      <c r="I1548" s="164"/>
      <c r="J1548" s="164"/>
      <c r="K1548" s="223"/>
      <c r="L1548" s="234"/>
      <c r="M1548" s="202"/>
      <c r="N1548" s="244"/>
      <c r="O1548" s="203"/>
      <c r="P1548" s="248"/>
      <c r="Q1548" s="201"/>
      <c r="R1548" s="255"/>
      <c r="S1548" s="226"/>
      <c r="T1548" s="235"/>
      <c r="U1548" s="170"/>
    </row>
    <row r="1549" spans="1:21" ht="15.75" hidden="1" outlineLevel="3">
      <c r="A1549" s="162"/>
      <c r="B1549" s="152"/>
      <c r="C1549" s="236" t="s">
        <v>479</v>
      </c>
      <c r="D1549" s="344"/>
      <c r="E1549" s="164"/>
      <c r="F1549" s="165"/>
      <c r="G1549" s="172"/>
      <c r="H1549" s="164"/>
      <c r="I1549" s="164"/>
      <c r="J1549" s="164"/>
      <c r="K1549" s="223"/>
      <c r="L1549" s="234"/>
      <c r="M1549" s="202"/>
      <c r="N1549" s="244"/>
      <c r="O1549" s="203"/>
      <c r="P1549" s="248"/>
      <c r="Q1549" s="201"/>
      <c r="R1549" s="255"/>
      <c r="S1549" s="226"/>
      <c r="T1549" s="235"/>
      <c r="U1549" s="170"/>
    </row>
    <row r="1550" spans="1:21" ht="15.75" hidden="1" outlineLevel="3">
      <c r="A1550" s="162"/>
      <c r="B1550" s="152"/>
      <c r="C1550" s="236" t="s">
        <v>488</v>
      </c>
      <c r="D1550" s="344"/>
      <c r="E1550" s="164"/>
      <c r="F1550" s="165"/>
      <c r="G1550" s="172"/>
      <c r="H1550" s="164"/>
      <c r="I1550" s="164"/>
      <c r="J1550" s="164"/>
      <c r="K1550" s="223"/>
      <c r="L1550" s="234"/>
      <c r="M1550" s="202"/>
      <c r="N1550" s="244"/>
      <c r="O1550" s="203"/>
      <c r="P1550" s="248"/>
      <c r="Q1550" s="201"/>
      <c r="R1550" s="255"/>
      <c r="S1550" s="226"/>
      <c r="T1550" s="235"/>
      <c r="U1550" s="170"/>
    </row>
    <row r="1551" spans="1:21" ht="15.75" hidden="1" outlineLevel="3">
      <c r="A1551" s="162"/>
      <c r="B1551" s="152"/>
      <c r="C1551" s="236" t="s">
        <v>489</v>
      </c>
      <c r="D1551" s="344"/>
      <c r="E1551" s="164"/>
      <c r="F1551" s="165"/>
      <c r="G1551" s="172"/>
      <c r="H1551" s="164"/>
      <c r="I1551" s="164"/>
      <c r="J1551" s="164"/>
      <c r="K1551" s="223"/>
      <c r="L1551" s="234"/>
      <c r="M1551" s="202"/>
      <c r="N1551" s="244"/>
      <c r="O1551" s="203"/>
      <c r="P1551" s="248"/>
      <c r="Q1551" s="201"/>
      <c r="R1551" s="255"/>
      <c r="S1551" s="226"/>
      <c r="T1551" s="235"/>
      <c r="U1551" s="170"/>
    </row>
    <row r="1552" spans="1:21" ht="15.75" hidden="1" outlineLevel="3">
      <c r="A1552" s="162"/>
      <c r="B1552" s="152"/>
      <c r="C1552" s="151" t="s">
        <v>506</v>
      </c>
      <c r="D1552" s="339"/>
      <c r="E1552" s="164"/>
      <c r="F1552" s="165"/>
      <c r="G1552" s="172"/>
      <c r="H1552" s="164"/>
      <c r="I1552" s="164"/>
      <c r="J1552" s="164"/>
      <c r="K1552" s="223"/>
      <c r="L1552" s="234"/>
      <c r="M1552" s="202"/>
      <c r="N1552" s="244"/>
      <c r="O1552" s="203"/>
      <c r="P1552" s="248"/>
      <c r="Q1552" s="201"/>
      <c r="R1552" s="255"/>
      <c r="S1552" s="226"/>
      <c r="T1552" s="235"/>
      <c r="U1552" s="170"/>
    </row>
    <row r="1553" spans="1:21" ht="15.75" hidden="1" outlineLevel="3">
      <c r="A1553" s="162"/>
      <c r="B1553" s="152"/>
      <c r="C1553" s="236" t="s">
        <v>491</v>
      </c>
      <c r="D1553" s="344"/>
      <c r="E1553" s="164"/>
      <c r="F1553" s="165"/>
      <c r="G1553" s="172"/>
      <c r="H1553" s="164"/>
      <c r="I1553" s="164"/>
      <c r="J1553" s="164"/>
      <c r="K1553" s="223"/>
      <c r="L1553" s="234"/>
      <c r="M1553" s="202"/>
      <c r="N1553" s="244"/>
      <c r="O1553" s="203"/>
      <c r="P1553" s="248"/>
      <c r="Q1553" s="201"/>
      <c r="R1553" s="255"/>
      <c r="S1553" s="226"/>
      <c r="T1553" s="235"/>
      <c r="U1553" s="170"/>
    </row>
    <row r="1554" spans="1:21" ht="15.75" hidden="1" outlineLevel="3">
      <c r="A1554" s="162"/>
      <c r="B1554" s="152"/>
      <c r="C1554" s="236" t="s">
        <v>492</v>
      </c>
      <c r="D1554" s="344"/>
      <c r="E1554" s="164"/>
      <c r="F1554" s="165"/>
      <c r="G1554" s="172"/>
      <c r="H1554" s="164"/>
      <c r="I1554" s="164"/>
      <c r="J1554" s="164"/>
      <c r="K1554" s="223"/>
      <c r="L1554" s="234"/>
      <c r="M1554" s="202"/>
      <c r="N1554" s="244"/>
      <c r="O1554" s="203"/>
      <c r="P1554" s="248"/>
      <c r="Q1554" s="201"/>
      <c r="R1554" s="255"/>
      <c r="S1554" s="226"/>
      <c r="T1554" s="235"/>
      <c r="U1554" s="170"/>
    </row>
    <row r="1555" spans="1:21" ht="15.75" hidden="1" outlineLevel="3">
      <c r="A1555" s="162"/>
      <c r="B1555" s="152"/>
      <c r="C1555" s="236" t="s">
        <v>493</v>
      </c>
      <c r="D1555" s="344"/>
      <c r="E1555" s="164"/>
      <c r="F1555" s="165"/>
      <c r="G1555" s="172"/>
      <c r="H1555" s="164"/>
      <c r="I1555" s="164"/>
      <c r="J1555" s="164"/>
      <c r="K1555" s="223"/>
      <c r="L1555" s="234"/>
      <c r="M1555" s="202"/>
      <c r="N1555" s="244"/>
      <c r="O1555" s="203"/>
      <c r="P1555" s="248"/>
      <c r="Q1555" s="201"/>
      <c r="R1555" s="255"/>
      <c r="S1555" s="226"/>
      <c r="T1555" s="235"/>
      <c r="U1555" s="170"/>
    </row>
    <row r="1556" spans="1:21" ht="15.75" hidden="1" outlineLevel="3">
      <c r="A1556" s="162"/>
      <c r="B1556" s="152"/>
      <c r="C1556" s="236" t="s">
        <v>494</v>
      </c>
      <c r="D1556" s="344"/>
      <c r="E1556" s="164"/>
      <c r="F1556" s="165"/>
      <c r="G1556" s="172"/>
      <c r="H1556" s="164"/>
      <c r="I1556" s="164"/>
      <c r="J1556" s="164"/>
      <c r="K1556" s="223"/>
      <c r="L1556" s="234"/>
      <c r="M1556" s="202"/>
      <c r="N1556" s="244"/>
      <c r="O1556" s="203"/>
      <c r="P1556" s="248"/>
      <c r="Q1556" s="201"/>
      <c r="R1556" s="255"/>
      <c r="S1556" s="226"/>
      <c r="T1556" s="235"/>
      <c r="U1556" s="161"/>
    </row>
    <row r="1557" spans="1:21" ht="15.75" hidden="1" outlineLevel="3">
      <c r="A1557" s="162"/>
      <c r="B1557" s="152"/>
      <c r="C1557" s="151" t="s">
        <v>507</v>
      </c>
      <c r="D1557" s="339"/>
      <c r="E1557" s="164"/>
      <c r="F1557" s="165"/>
      <c r="G1557" s="172"/>
      <c r="H1557" s="164"/>
      <c r="I1557" s="164"/>
      <c r="J1557" s="164"/>
      <c r="K1557" s="223"/>
      <c r="L1557" s="234"/>
      <c r="M1557" s="202"/>
      <c r="N1557" s="244"/>
      <c r="O1557" s="203"/>
      <c r="P1557" s="248"/>
      <c r="Q1557" s="201"/>
      <c r="R1557" s="255"/>
      <c r="S1557" s="226"/>
      <c r="T1557" s="235"/>
      <c r="U1557" s="170"/>
    </row>
    <row r="1558" spans="1:21" ht="15.75" hidden="1" outlineLevel="3">
      <c r="A1558" s="162"/>
      <c r="B1558" s="152"/>
      <c r="C1558" s="174" t="s">
        <v>496</v>
      </c>
      <c r="D1558" s="340"/>
      <c r="E1558" s="164"/>
      <c r="F1558" s="165"/>
      <c r="G1558" s="172"/>
      <c r="H1558" s="164"/>
      <c r="I1558" s="164"/>
      <c r="J1558" s="164"/>
      <c r="K1558" s="223"/>
      <c r="L1558" s="234"/>
      <c r="M1558" s="202"/>
      <c r="N1558" s="244"/>
      <c r="O1558" s="203"/>
      <c r="P1558" s="248"/>
      <c r="Q1558" s="201"/>
      <c r="R1558" s="255"/>
      <c r="S1558" s="226"/>
      <c r="T1558" s="235"/>
      <c r="U1558" s="170"/>
    </row>
    <row r="1559" spans="1:21" ht="15.75" hidden="1" outlineLevel="3">
      <c r="A1559" s="162"/>
      <c r="B1559" s="152"/>
      <c r="C1559" s="174" t="s">
        <v>497</v>
      </c>
      <c r="D1559" s="340"/>
      <c r="E1559" s="164"/>
      <c r="F1559" s="165"/>
      <c r="G1559" s="172"/>
      <c r="H1559" s="164"/>
      <c r="I1559" s="164"/>
      <c r="J1559" s="164"/>
      <c r="K1559" s="223"/>
      <c r="L1559" s="234"/>
      <c r="M1559" s="202"/>
      <c r="N1559" s="244"/>
      <c r="O1559" s="203"/>
      <c r="P1559" s="248"/>
      <c r="Q1559" s="201"/>
      <c r="R1559" s="255"/>
      <c r="S1559" s="226"/>
      <c r="T1559" s="235"/>
      <c r="U1559" s="170"/>
    </row>
    <row r="1560" spans="1:21" ht="15.75" hidden="1" outlineLevel="3">
      <c r="A1560" s="162"/>
      <c r="B1560" s="152"/>
      <c r="C1560" s="174" t="s">
        <v>499</v>
      </c>
      <c r="D1560" s="340"/>
      <c r="E1560" s="164"/>
      <c r="F1560" s="165"/>
      <c r="G1560" s="172"/>
      <c r="H1560" s="164"/>
      <c r="I1560" s="164"/>
      <c r="J1560" s="164"/>
      <c r="K1560" s="223"/>
      <c r="L1560" s="234"/>
      <c r="M1560" s="202"/>
      <c r="N1560" s="244"/>
      <c r="O1560" s="203"/>
      <c r="P1560" s="248"/>
      <c r="Q1560" s="201"/>
      <c r="R1560" s="255"/>
      <c r="S1560" s="226"/>
      <c r="T1560" s="235"/>
      <c r="U1560" s="170"/>
    </row>
    <row r="1561" spans="1:21" ht="15.75" hidden="1" outlineLevel="3">
      <c r="A1561" s="162"/>
      <c r="B1561" s="152"/>
      <c r="C1561" s="174" t="s">
        <v>379</v>
      </c>
      <c r="D1561" s="340"/>
      <c r="E1561" s="164"/>
      <c r="F1561" s="165"/>
      <c r="G1561" s="172"/>
      <c r="H1561" s="164"/>
      <c r="I1561" s="164"/>
      <c r="J1561" s="164"/>
      <c r="K1561" s="223"/>
      <c r="L1561" s="234"/>
      <c r="M1561" s="202"/>
      <c r="N1561" s="244"/>
      <c r="O1561" s="203"/>
      <c r="P1561" s="248"/>
      <c r="Q1561" s="171"/>
      <c r="R1561" s="255"/>
      <c r="S1561" s="226"/>
      <c r="T1561" s="235"/>
      <c r="U1561" s="161"/>
    </row>
    <row r="1562" spans="1:21" s="233" customFormat="1" hidden="1" outlineLevel="2" collapsed="1">
      <c r="A1562" s="232"/>
      <c r="B1562" s="171"/>
      <c r="C1562" s="151" t="s">
        <v>672</v>
      </c>
      <c r="D1562" s="339"/>
      <c r="E1562" s="157"/>
      <c r="F1562" s="158"/>
      <c r="G1562" s="197"/>
      <c r="H1562" s="157"/>
      <c r="I1562" s="157"/>
      <c r="J1562" s="157"/>
      <c r="K1562" s="215"/>
      <c r="L1562" s="155"/>
      <c r="M1562" s="156"/>
      <c r="N1562" s="244"/>
      <c r="O1562" s="157"/>
      <c r="P1562" s="248"/>
      <c r="Q1562" s="158"/>
      <c r="R1562" s="255"/>
      <c r="S1562" s="159"/>
      <c r="T1562" s="225"/>
      <c r="U1562" s="170"/>
    </row>
    <row r="1563" spans="1:21" hidden="1" outlineLevel="1" collapsed="1">
      <c r="A1563" s="231"/>
      <c r="B1563" s="163"/>
      <c r="C1563" s="557" t="s">
        <v>673</v>
      </c>
      <c r="D1563" s="558"/>
      <c r="E1563" s="164"/>
      <c r="F1563" s="165"/>
      <c r="G1563" s="249">
        <f>SUM(G1421,G1336,G1534,G1365,G1477,G1505,G1393,G1449,G1562)</f>
        <v>500000</v>
      </c>
      <c r="H1563" s="244">
        <f>SUM(H1421,H1336,H1534,H1365,H1477,H1505,H1393,H1449,H1562)</f>
        <v>0</v>
      </c>
      <c r="I1563" s="244"/>
      <c r="J1563" s="244">
        <f>SUM(J1421,J1336,J1534,J1365,J1477,J1505,J1393,J1449,J1562)</f>
        <v>0</v>
      </c>
      <c r="K1563" s="255">
        <f>SUM(K1336,K1365,K1393,K1421,K1449,K1477,K1505,K1534,K1562)</f>
        <v>0</v>
      </c>
      <c r="L1563" s="159">
        <f>SUM(L1421,L1336,L1534,L1365,L1477,L1505,L1393,L1449,L1562)</f>
        <v>610000</v>
      </c>
      <c r="M1563" s="156">
        <f>SUM(M1421,M1336,M1534,M1365,M1477,M1505,M1393,M1449,M1562)</f>
        <v>2336000</v>
      </c>
      <c r="N1563" s="250">
        <f>M1563*1.23</f>
        <v>2873280</v>
      </c>
      <c r="O1563" s="157">
        <f>SUM(O1421,O1336,O1534,O1365,O1477,O1505,O1393,O1449,O1562)</f>
        <v>666000</v>
      </c>
      <c r="P1563" s="248">
        <f>O1563*1.46</f>
        <v>972360</v>
      </c>
      <c r="Q1563" s="158">
        <f>SUM(Q1421,Q1336,Q1534,Q1365,Q1477,Q1505,Q1393,Q1449,Q1562)</f>
        <v>1060000</v>
      </c>
      <c r="R1563" s="255">
        <f>Q1563*1.73</f>
        <v>1833800</v>
      </c>
      <c r="S1563" s="159">
        <f t="shared" ref="S1563" si="101">SUM(L1563,N1563,P1563,R1563)</f>
        <v>6289440</v>
      </c>
      <c r="T1563" s="225"/>
      <c r="U1563" s="170"/>
    </row>
    <row r="1564" spans="1:21" hidden="1" outlineLevel="2">
      <c r="A1564" s="231"/>
      <c r="B1564" s="151" t="s">
        <v>593</v>
      </c>
      <c r="C1564" s="163"/>
      <c r="D1564" s="338"/>
      <c r="E1564" s="164"/>
      <c r="F1564" s="165"/>
      <c r="G1564" s="172"/>
      <c r="H1564" s="164"/>
      <c r="I1564" s="164"/>
      <c r="J1564" s="164"/>
      <c r="K1564" s="223"/>
      <c r="L1564" s="155"/>
      <c r="M1564" s="156"/>
      <c r="N1564" s="250"/>
      <c r="O1564" s="157"/>
      <c r="P1564" s="248"/>
      <c r="Q1564" s="158"/>
      <c r="R1564" s="255"/>
      <c r="S1564" s="159"/>
      <c r="T1564" s="225"/>
      <c r="U1564" s="161"/>
    </row>
    <row r="1565" spans="1:21" s="233" customFormat="1" hidden="1" outlineLevel="3">
      <c r="A1565" s="232"/>
      <c r="B1565" s="151" t="s">
        <v>594</v>
      </c>
      <c r="C1565" s="171"/>
      <c r="D1565" s="343"/>
      <c r="E1565" s="157"/>
      <c r="F1565" s="158"/>
      <c r="G1565" s="197"/>
      <c r="H1565" s="157"/>
      <c r="I1565" s="157"/>
      <c r="J1565" s="157"/>
      <c r="K1565" s="215"/>
      <c r="L1565" s="155"/>
      <c r="M1565" s="156"/>
      <c r="N1565" s="250"/>
      <c r="O1565" s="157"/>
      <c r="P1565" s="248"/>
      <c r="Q1565" s="158"/>
      <c r="R1565" s="255"/>
      <c r="S1565" s="159" t="s">
        <v>514</v>
      </c>
      <c r="T1565" s="225"/>
      <c r="U1565" s="161"/>
    </row>
    <row r="1566" spans="1:21" ht="15.75" hidden="1" outlineLevel="3">
      <c r="A1566" s="162"/>
      <c r="B1566" s="152"/>
      <c r="C1566" s="151" t="s">
        <v>503</v>
      </c>
      <c r="D1566" s="339"/>
      <c r="E1566" s="164"/>
      <c r="F1566" s="165"/>
      <c r="G1566" s="172"/>
      <c r="H1566" s="164"/>
      <c r="I1566" s="164"/>
      <c r="J1566" s="164"/>
      <c r="K1566" s="223"/>
      <c r="L1566" s="234"/>
      <c r="M1566" s="202"/>
      <c r="N1566" s="250"/>
      <c r="O1566" s="203"/>
      <c r="P1566" s="248"/>
      <c r="Q1566" s="201"/>
      <c r="R1566" s="255"/>
      <c r="S1566" s="226"/>
      <c r="T1566" s="235"/>
      <c r="U1566" s="170"/>
    </row>
    <row r="1567" spans="1:21" ht="15.75" hidden="1" outlineLevel="3">
      <c r="A1567" s="162"/>
      <c r="B1567" s="152"/>
      <c r="C1567" s="236" t="s">
        <v>520</v>
      </c>
      <c r="D1567" s="344"/>
      <c r="E1567" s="164"/>
      <c r="F1567" s="165"/>
      <c r="G1567" s="172"/>
      <c r="H1567" s="164"/>
      <c r="I1567" s="164"/>
      <c r="J1567" s="164"/>
      <c r="K1567" s="223"/>
      <c r="L1567" s="234"/>
      <c r="M1567" s="202"/>
      <c r="N1567" s="250"/>
      <c r="O1567" s="203"/>
      <c r="P1567" s="248"/>
      <c r="Q1567" s="201"/>
      <c r="R1567" s="255"/>
      <c r="S1567" s="226"/>
      <c r="T1567" s="235"/>
      <c r="U1567" s="170"/>
    </row>
    <row r="1568" spans="1:21" ht="15.75" hidden="1" outlineLevel="3">
      <c r="A1568" s="162"/>
      <c r="B1568" s="152"/>
      <c r="C1568" s="236" t="s">
        <v>478</v>
      </c>
      <c r="D1568" s="344"/>
      <c r="E1568" s="164"/>
      <c r="F1568" s="165"/>
      <c r="G1568" s="172"/>
      <c r="H1568" s="164"/>
      <c r="I1568" s="164"/>
      <c r="J1568" s="164"/>
      <c r="K1568" s="223"/>
      <c r="L1568" s="234"/>
      <c r="M1568" s="202"/>
      <c r="N1568" s="250"/>
      <c r="O1568" s="203"/>
      <c r="P1568" s="248"/>
      <c r="Q1568" s="201"/>
      <c r="R1568" s="255"/>
      <c r="S1568" s="226"/>
      <c r="T1568" s="235"/>
      <c r="U1568" s="170"/>
    </row>
    <row r="1569" spans="1:21" ht="15.75" hidden="1" outlineLevel="3">
      <c r="A1569" s="162"/>
      <c r="B1569" s="152"/>
      <c r="C1569" s="236" t="s">
        <v>479</v>
      </c>
      <c r="D1569" s="344"/>
      <c r="E1569" s="164"/>
      <c r="F1569" s="165"/>
      <c r="G1569" s="172"/>
      <c r="H1569" s="164"/>
      <c r="I1569" s="164"/>
      <c r="J1569" s="164"/>
      <c r="K1569" s="223"/>
      <c r="L1569" s="220"/>
      <c r="M1569" s="204"/>
      <c r="N1569" s="250"/>
      <c r="O1569" s="203"/>
      <c r="P1569" s="248"/>
      <c r="Q1569" s="201"/>
      <c r="R1569" s="255"/>
      <c r="S1569" s="226"/>
      <c r="T1569" s="235"/>
      <c r="U1569" s="170"/>
    </row>
    <row r="1570" spans="1:21" ht="15.75" hidden="1" outlineLevel="3">
      <c r="A1570" s="162"/>
      <c r="B1570" s="152"/>
      <c r="C1570" s="236" t="s">
        <v>480</v>
      </c>
      <c r="D1570" s="344"/>
      <c r="E1570" s="164"/>
      <c r="F1570" s="165"/>
      <c r="G1570" s="172"/>
      <c r="H1570" s="164"/>
      <c r="I1570" s="164"/>
      <c r="J1570" s="164"/>
      <c r="K1570" s="223"/>
      <c r="L1570" s="234"/>
      <c r="M1570" s="202"/>
      <c r="N1570" s="250"/>
      <c r="O1570" s="203"/>
      <c r="P1570" s="248"/>
      <c r="Q1570" s="201"/>
      <c r="R1570" s="255"/>
      <c r="S1570" s="226"/>
      <c r="T1570" s="235"/>
      <c r="U1570" s="170"/>
    </row>
    <row r="1571" spans="1:21" ht="15.75" hidden="1" outlineLevel="3">
      <c r="A1571" s="162"/>
      <c r="B1571" s="152"/>
      <c r="C1571" s="236" t="s">
        <v>512</v>
      </c>
      <c r="D1571" s="344"/>
      <c r="E1571" s="164"/>
      <c r="F1571" s="165"/>
      <c r="G1571" s="172"/>
      <c r="H1571" s="164"/>
      <c r="I1571" s="164"/>
      <c r="J1571" s="164"/>
      <c r="K1571" s="223"/>
      <c r="L1571" s="234"/>
      <c r="M1571" s="202"/>
      <c r="N1571" s="250"/>
      <c r="O1571" s="203"/>
      <c r="P1571" s="248"/>
      <c r="Q1571" s="201"/>
      <c r="R1571" s="255"/>
      <c r="S1571" s="226"/>
      <c r="T1571" s="235"/>
      <c r="U1571" s="170"/>
    </row>
    <row r="1572" spans="1:21" ht="15.75" hidden="1" outlineLevel="3">
      <c r="A1572" s="162"/>
      <c r="B1572" s="152"/>
      <c r="C1572" s="151" t="s">
        <v>504</v>
      </c>
      <c r="D1572" s="339"/>
      <c r="E1572" s="164"/>
      <c r="F1572" s="165"/>
      <c r="G1572" s="172"/>
      <c r="H1572" s="164"/>
      <c r="I1572" s="164"/>
      <c r="J1572" s="164"/>
      <c r="K1572" s="223"/>
      <c r="L1572" s="234"/>
      <c r="M1572" s="202"/>
      <c r="N1572" s="250"/>
      <c r="O1572" s="203"/>
      <c r="P1572" s="248"/>
      <c r="Q1572" s="201"/>
      <c r="R1572" s="255"/>
      <c r="S1572" s="226"/>
      <c r="T1572" s="235"/>
      <c r="U1572" s="170"/>
    </row>
    <row r="1573" spans="1:21" ht="15.75" hidden="1" outlineLevel="3">
      <c r="A1573" s="162"/>
      <c r="B1573" s="152"/>
      <c r="C1573" s="236" t="s">
        <v>483</v>
      </c>
      <c r="D1573" s="344"/>
      <c r="E1573" s="164"/>
      <c r="F1573" s="165"/>
      <c r="G1573" s="172"/>
      <c r="H1573" s="164"/>
      <c r="I1573" s="164"/>
      <c r="J1573" s="164"/>
      <c r="K1573" s="223"/>
      <c r="L1573" s="234"/>
      <c r="M1573" s="202"/>
      <c r="N1573" s="250"/>
      <c r="O1573" s="203"/>
      <c r="P1573" s="248"/>
      <c r="Q1573" s="201"/>
      <c r="R1573" s="255"/>
      <c r="S1573" s="226"/>
      <c r="T1573" s="235"/>
      <c r="U1573" s="170"/>
    </row>
    <row r="1574" spans="1:21" ht="15.75" hidden="1" outlineLevel="3">
      <c r="A1574" s="162"/>
      <c r="B1574" s="152"/>
      <c r="C1574" s="236" t="s">
        <v>484</v>
      </c>
      <c r="D1574" s="344"/>
      <c r="E1574" s="164"/>
      <c r="F1574" s="165"/>
      <c r="G1574" s="172"/>
      <c r="H1574" s="164"/>
      <c r="I1574" s="164"/>
      <c r="J1574" s="164"/>
      <c r="K1574" s="223"/>
      <c r="L1574" s="234"/>
      <c r="M1574" s="202" t="s">
        <v>514</v>
      </c>
      <c r="N1574" s="250"/>
      <c r="O1574" s="239"/>
      <c r="P1574" s="248"/>
      <c r="Q1574" s="201"/>
      <c r="R1574" s="255"/>
      <c r="S1574" s="226" t="s">
        <v>514</v>
      </c>
      <c r="T1574" s="235"/>
      <c r="U1574" s="170"/>
    </row>
    <row r="1575" spans="1:21" ht="15.75" hidden="1" outlineLevel="3">
      <c r="A1575" s="162"/>
      <c r="B1575" s="152"/>
      <c r="C1575" s="236" t="s">
        <v>479</v>
      </c>
      <c r="D1575" s="344"/>
      <c r="E1575" s="164"/>
      <c r="F1575" s="165"/>
      <c r="G1575" s="172"/>
      <c r="H1575" s="164"/>
      <c r="I1575" s="164"/>
      <c r="J1575" s="164"/>
      <c r="K1575" s="223"/>
      <c r="L1575" s="234"/>
      <c r="M1575" s="202"/>
      <c r="N1575" s="250"/>
      <c r="O1575" s="203"/>
      <c r="P1575" s="248"/>
      <c r="Q1575" s="201"/>
      <c r="R1575" s="255"/>
      <c r="S1575" s="226"/>
      <c r="T1575" s="235"/>
      <c r="U1575" s="170"/>
    </row>
    <row r="1576" spans="1:21" ht="15.75" hidden="1" outlineLevel="3">
      <c r="A1576" s="162"/>
      <c r="B1576" s="152"/>
      <c r="C1576" s="236" t="s">
        <v>485</v>
      </c>
      <c r="D1576" s="344"/>
      <c r="E1576" s="164"/>
      <c r="F1576" s="165"/>
      <c r="G1576" s="172"/>
      <c r="H1576" s="164"/>
      <c r="I1576" s="164"/>
      <c r="J1576" s="164"/>
      <c r="K1576" s="223"/>
      <c r="L1576" s="234"/>
      <c r="M1576" s="202"/>
      <c r="N1576" s="250"/>
      <c r="O1576" s="203"/>
      <c r="P1576" s="248"/>
      <c r="Q1576" s="201"/>
      <c r="R1576" s="255"/>
      <c r="S1576" s="226"/>
      <c r="T1576" s="235"/>
      <c r="U1576" s="170"/>
    </row>
    <row r="1577" spans="1:21" ht="15.75" hidden="1" outlineLevel="3">
      <c r="A1577" s="162"/>
      <c r="B1577" s="152"/>
      <c r="C1577" s="151" t="s">
        <v>505</v>
      </c>
      <c r="D1577" s="339"/>
      <c r="E1577" s="164"/>
      <c r="F1577" s="165"/>
      <c r="G1577" s="172"/>
      <c r="H1577" s="164"/>
      <c r="I1577" s="164"/>
      <c r="J1577" s="164"/>
      <c r="K1577" s="223"/>
      <c r="L1577" s="234"/>
      <c r="M1577" s="202"/>
      <c r="N1577" s="250"/>
      <c r="O1577" s="203"/>
      <c r="P1577" s="248"/>
      <c r="Q1577" s="201"/>
      <c r="R1577" s="255"/>
      <c r="S1577" s="226"/>
      <c r="T1577" s="235"/>
      <c r="U1577" s="170"/>
    </row>
    <row r="1578" spans="1:21" ht="15.75" hidden="1" outlineLevel="3">
      <c r="A1578" s="162"/>
      <c r="B1578" s="152"/>
      <c r="C1578" s="236" t="s">
        <v>487</v>
      </c>
      <c r="D1578" s="344"/>
      <c r="E1578" s="164"/>
      <c r="F1578" s="165"/>
      <c r="G1578" s="172"/>
      <c r="H1578" s="164"/>
      <c r="I1578" s="164"/>
      <c r="J1578" s="164"/>
      <c r="K1578" s="223"/>
      <c r="L1578" s="234"/>
      <c r="M1578" s="202"/>
      <c r="N1578" s="250"/>
      <c r="O1578" s="203"/>
      <c r="P1578" s="248"/>
      <c r="Q1578" s="201"/>
      <c r="R1578" s="255"/>
      <c r="S1578" s="226"/>
      <c r="T1578" s="235"/>
      <c r="U1578" s="170"/>
    </row>
    <row r="1579" spans="1:21" ht="15.75" hidden="1" outlineLevel="3">
      <c r="A1579" s="162"/>
      <c r="B1579" s="152"/>
      <c r="C1579" s="236" t="s">
        <v>479</v>
      </c>
      <c r="D1579" s="344"/>
      <c r="E1579" s="164"/>
      <c r="F1579" s="165"/>
      <c r="G1579" s="172"/>
      <c r="H1579" s="164"/>
      <c r="I1579" s="164"/>
      <c r="J1579" s="164"/>
      <c r="K1579" s="223"/>
      <c r="L1579" s="234"/>
      <c r="M1579" s="202"/>
      <c r="N1579" s="250"/>
      <c r="O1579" s="203"/>
      <c r="P1579" s="248"/>
      <c r="Q1579" s="201"/>
      <c r="R1579" s="255"/>
      <c r="S1579" s="226"/>
      <c r="T1579" s="235"/>
      <c r="U1579" s="170"/>
    </row>
    <row r="1580" spans="1:21" ht="15.75" hidden="1" outlineLevel="3">
      <c r="A1580" s="162"/>
      <c r="B1580" s="152"/>
      <c r="C1580" s="236" t="s">
        <v>488</v>
      </c>
      <c r="D1580" s="344"/>
      <c r="E1580" s="164"/>
      <c r="F1580" s="165"/>
      <c r="G1580" s="172"/>
      <c r="H1580" s="164"/>
      <c r="I1580" s="164"/>
      <c r="J1580" s="164"/>
      <c r="K1580" s="223"/>
      <c r="L1580" s="234"/>
      <c r="M1580" s="202"/>
      <c r="N1580" s="250"/>
      <c r="O1580" s="203"/>
      <c r="P1580" s="248"/>
      <c r="Q1580" s="201"/>
      <c r="R1580" s="255"/>
      <c r="S1580" s="226"/>
      <c r="T1580" s="235"/>
      <c r="U1580" s="170"/>
    </row>
    <row r="1581" spans="1:21" ht="15.75" hidden="1" outlineLevel="3">
      <c r="A1581" s="162"/>
      <c r="B1581" s="152"/>
      <c r="C1581" s="236" t="s">
        <v>489</v>
      </c>
      <c r="D1581" s="344"/>
      <c r="E1581" s="164"/>
      <c r="F1581" s="165"/>
      <c r="G1581" s="172"/>
      <c r="H1581" s="164"/>
      <c r="I1581" s="164"/>
      <c r="J1581" s="164"/>
      <c r="K1581" s="223"/>
      <c r="L1581" s="167"/>
      <c r="M1581" s="202"/>
      <c r="N1581" s="250"/>
      <c r="O1581" s="203"/>
      <c r="P1581" s="248"/>
      <c r="Q1581" s="201"/>
      <c r="R1581" s="255"/>
      <c r="S1581" s="159"/>
      <c r="T1581" s="235"/>
      <c r="U1581" s="170"/>
    </row>
    <row r="1582" spans="1:21" ht="15.75" hidden="1" outlineLevel="3">
      <c r="A1582" s="162"/>
      <c r="B1582" s="152"/>
      <c r="C1582" s="151" t="s">
        <v>506</v>
      </c>
      <c r="D1582" s="339"/>
      <c r="E1582" s="164"/>
      <c r="F1582" s="165"/>
      <c r="G1582" s="172"/>
      <c r="H1582" s="164"/>
      <c r="I1582" s="164"/>
      <c r="J1582" s="164"/>
      <c r="K1582" s="223"/>
      <c r="L1582" s="167"/>
      <c r="M1582" s="202"/>
      <c r="N1582" s="250"/>
      <c r="O1582" s="203"/>
      <c r="P1582" s="248"/>
      <c r="Q1582" s="201"/>
      <c r="R1582" s="255"/>
      <c r="S1582" s="226"/>
      <c r="T1582" s="235"/>
      <c r="U1582" s="170"/>
    </row>
    <row r="1583" spans="1:21" ht="15.75" hidden="1" outlineLevel="3">
      <c r="A1583" s="162"/>
      <c r="B1583" s="152"/>
      <c r="C1583" s="236" t="s">
        <v>491</v>
      </c>
      <c r="D1583" s="344"/>
      <c r="E1583" s="164"/>
      <c r="F1583" s="165"/>
      <c r="G1583" s="172"/>
      <c r="H1583" s="164"/>
      <c r="I1583" s="164"/>
      <c r="J1583" s="164"/>
      <c r="K1583" s="223"/>
      <c r="L1583" s="167"/>
      <c r="M1583" s="202">
        <v>114500</v>
      </c>
      <c r="N1583" s="250">
        <f>M1583*1.23</f>
        <v>140835</v>
      </c>
      <c r="O1583" s="203"/>
      <c r="P1583" s="248"/>
      <c r="Q1583" s="201"/>
      <c r="R1583" s="255"/>
      <c r="S1583" s="159">
        <f t="shared" ref="S1583:S1585" si="102">SUM(L1583,N1583,P1583,R1583)</f>
        <v>140835</v>
      </c>
      <c r="T1583" s="235"/>
      <c r="U1583" s="170"/>
    </row>
    <row r="1584" spans="1:21" ht="15.75" hidden="1" outlineLevel="3">
      <c r="A1584" s="162"/>
      <c r="B1584" s="152"/>
      <c r="C1584" s="236" t="s">
        <v>492</v>
      </c>
      <c r="D1584" s="344"/>
      <c r="E1584" s="164"/>
      <c r="F1584" s="165"/>
      <c r="G1584" s="172"/>
      <c r="H1584" s="164"/>
      <c r="I1584" s="203"/>
      <c r="J1584" s="164">
        <f>CIP!$AU$103</f>
        <v>0</v>
      </c>
      <c r="K1584" s="223"/>
      <c r="L1584" s="167">
        <f>SUM(G1584:K1584)</f>
        <v>0</v>
      </c>
      <c r="M1584" s="238"/>
      <c r="N1584" s="250"/>
      <c r="O1584" s="203"/>
      <c r="P1584" s="248"/>
      <c r="Q1584" s="238"/>
      <c r="R1584" s="255"/>
      <c r="S1584" s="226">
        <f>SUM(L1584:R1584)</f>
        <v>0</v>
      </c>
      <c r="T1584" s="235"/>
      <c r="U1584" s="170" t="s">
        <v>595</v>
      </c>
    </row>
    <row r="1585" spans="1:21" ht="15.75" hidden="1" outlineLevel="3">
      <c r="A1585" s="162"/>
      <c r="B1585" s="152"/>
      <c r="C1585" s="236" t="s">
        <v>493</v>
      </c>
      <c r="D1585" s="344"/>
      <c r="E1585" s="164"/>
      <c r="F1585" s="165"/>
      <c r="G1585" s="172"/>
      <c r="H1585" s="164"/>
      <c r="I1585" s="164"/>
      <c r="J1585" s="164"/>
      <c r="K1585" s="223"/>
      <c r="L1585" s="167"/>
      <c r="M1585" s="202">
        <v>75500</v>
      </c>
      <c r="N1585" s="250">
        <f>M1585*1.23</f>
        <v>92865</v>
      </c>
      <c r="O1585" s="203"/>
      <c r="P1585" s="248"/>
      <c r="Q1585" s="201"/>
      <c r="R1585" s="255"/>
      <c r="S1585" s="159">
        <f t="shared" si="102"/>
        <v>92865</v>
      </c>
      <c r="T1585" s="235"/>
      <c r="U1585" s="170"/>
    </row>
    <row r="1586" spans="1:21" ht="15.75" hidden="1" outlineLevel="3">
      <c r="A1586" s="162"/>
      <c r="B1586" s="152"/>
      <c r="C1586" s="236" t="s">
        <v>494</v>
      </c>
      <c r="D1586" s="344"/>
      <c r="E1586" s="164"/>
      <c r="F1586" s="165"/>
      <c r="G1586" s="172"/>
      <c r="H1586" s="164"/>
      <c r="I1586" s="164"/>
      <c r="J1586" s="164"/>
      <c r="K1586" s="223"/>
      <c r="L1586" s="167"/>
      <c r="M1586" s="202"/>
      <c r="N1586" s="250"/>
      <c r="O1586" s="203"/>
      <c r="P1586" s="248"/>
      <c r="Q1586" s="201"/>
      <c r="R1586" s="255"/>
      <c r="S1586" s="226"/>
      <c r="T1586" s="235"/>
      <c r="U1586" s="161"/>
    </row>
    <row r="1587" spans="1:21" ht="15.75" hidden="1" outlineLevel="3">
      <c r="A1587" s="162"/>
      <c r="B1587" s="152"/>
      <c r="C1587" s="151" t="s">
        <v>507</v>
      </c>
      <c r="D1587" s="339"/>
      <c r="E1587" s="164"/>
      <c r="F1587" s="165"/>
      <c r="G1587" s="172"/>
      <c r="H1587" s="164"/>
      <c r="I1587" s="164"/>
      <c r="J1587" s="164"/>
      <c r="K1587" s="223"/>
      <c r="L1587" s="167"/>
      <c r="M1587" s="202"/>
      <c r="N1587" s="250"/>
      <c r="O1587" s="203"/>
      <c r="P1587" s="248"/>
      <c r="Q1587" s="201"/>
      <c r="R1587" s="255"/>
      <c r="S1587" s="226"/>
      <c r="T1587" s="235"/>
      <c r="U1587" s="170"/>
    </row>
    <row r="1588" spans="1:21" ht="15.75" hidden="1" outlineLevel="3">
      <c r="A1588" s="162"/>
      <c r="B1588" s="152"/>
      <c r="C1588" s="174" t="s">
        <v>496</v>
      </c>
      <c r="D1588" s="340"/>
      <c r="E1588" s="164"/>
      <c r="F1588" s="165"/>
      <c r="G1588" s="172"/>
      <c r="H1588" s="164"/>
      <c r="I1588" s="164"/>
      <c r="J1588" s="164"/>
      <c r="K1588" s="223"/>
      <c r="L1588" s="167"/>
      <c r="M1588" s="202"/>
      <c r="N1588" s="250"/>
      <c r="O1588" s="203"/>
      <c r="P1588" s="248"/>
      <c r="Q1588" s="201"/>
      <c r="R1588" s="255"/>
      <c r="S1588" s="159"/>
      <c r="T1588" s="235"/>
      <c r="U1588" s="170"/>
    </row>
    <row r="1589" spans="1:21" ht="15.75" hidden="1" outlineLevel="3">
      <c r="A1589" s="162"/>
      <c r="B1589" s="152"/>
      <c r="C1589" s="174" t="s">
        <v>497</v>
      </c>
      <c r="D1589" s="340"/>
      <c r="E1589" s="164"/>
      <c r="F1589" s="165"/>
      <c r="G1589" s="172"/>
      <c r="H1589" s="164"/>
      <c r="I1589" s="164"/>
      <c r="J1589" s="164"/>
      <c r="K1589" s="223"/>
      <c r="L1589" s="167"/>
      <c r="M1589" s="202"/>
      <c r="N1589" s="250"/>
      <c r="O1589" s="203"/>
      <c r="P1589" s="248"/>
      <c r="Q1589" s="201"/>
      <c r="R1589" s="255"/>
      <c r="S1589" s="226"/>
      <c r="T1589" s="235"/>
      <c r="U1589" s="170"/>
    </row>
    <row r="1590" spans="1:21" ht="15.75" hidden="1" outlineLevel="3">
      <c r="A1590" s="162"/>
      <c r="B1590" s="152"/>
      <c r="C1590" s="174" t="s">
        <v>499</v>
      </c>
      <c r="D1590" s="340"/>
      <c r="E1590" s="164"/>
      <c r="F1590" s="165"/>
      <c r="G1590" s="172"/>
      <c r="H1590" s="164"/>
      <c r="I1590" s="164"/>
      <c r="J1590" s="164"/>
      <c r="K1590" s="223"/>
      <c r="L1590" s="167"/>
      <c r="M1590" s="202"/>
      <c r="N1590" s="250"/>
      <c r="O1590" s="203"/>
      <c r="P1590" s="248"/>
      <c r="Q1590" s="201"/>
      <c r="R1590" s="255"/>
      <c r="S1590" s="226"/>
      <c r="T1590" s="235"/>
      <c r="U1590" s="170"/>
    </row>
    <row r="1591" spans="1:21" ht="15.75" hidden="1" outlineLevel="3">
      <c r="A1591" s="162"/>
      <c r="B1591" s="152"/>
      <c r="C1591" s="174" t="s">
        <v>526</v>
      </c>
      <c r="D1591" s="340"/>
      <c r="E1591" s="164"/>
      <c r="F1591" s="165"/>
      <c r="G1591" s="172"/>
      <c r="H1591" s="164"/>
      <c r="I1591" s="164"/>
      <c r="J1591" s="164"/>
      <c r="K1591" s="223"/>
      <c r="L1591" s="167"/>
      <c r="M1591" s="202"/>
      <c r="N1591" s="250"/>
      <c r="O1591" s="203"/>
      <c r="P1591" s="248"/>
      <c r="Q1591" s="201"/>
      <c r="R1591" s="255"/>
      <c r="S1591" s="159"/>
      <c r="T1591" s="235"/>
      <c r="U1591" s="161"/>
    </row>
    <row r="1592" spans="1:21" ht="15.75" hidden="1" outlineLevel="2" collapsed="1">
      <c r="A1592" s="162"/>
      <c r="B1592" s="529"/>
      <c r="C1592" s="313" t="s">
        <v>594</v>
      </c>
      <c r="D1592" s="362"/>
      <c r="E1592" s="219"/>
      <c r="F1592" s="217"/>
      <c r="G1592" s="383"/>
      <c r="H1592" s="251"/>
      <c r="I1592" s="251"/>
      <c r="J1592" s="251">
        <f>SUM(J1570:J1591)</f>
        <v>0</v>
      </c>
      <c r="K1592" s="523"/>
      <c r="L1592" s="226">
        <f>SUM(G1592:K1592)</f>
        <v>0</v>
      </c>
      <c r="M1592" s="202">
        <f>SUM(M1566:M1591)</f>
        <v>190000</v>
      </c>
      <c r="N1592" s="251">
        <f>M1592*1.23</f>
        <v>233700</v>
      </c>
      <c r="O1592" s="203"/>
      <c r="P1592" s="244"/>
      <c r="Q1592" s="201"/>
      <c r="R1592" s="255"/>
      <c r="S1592" s="159">
        <f t="shared" ref="S1592" si="103">SUM(L1592,N1592,P1592,R1592)</f>
        <v>233700</v>
      </c>
      <c r="T1592" s="235"/>
      <c r="U1592" s="161"/>
    </row>
    <row r="1593" spans="1:21" s="233" customFormat="1" hidden="1" outlineLevel="3">
      <c r="A1593" s="232"/>
      <c r="B1593" s="313" t="s">
        <v>596</v>
      </c>
      <c r="C1593" s="528"/>
      <c r="D1593" s="563"/>
      <c r="E1593" s="203"/>
      <c r="F1593" s="201"/>
      <c r="G1593" s="205"/>
      <c r="H1593" s="203"/>
      <c r="I1593" s="203"/>
      <c r="J1593" s="203"/>
      <c r="K1593" s="222"/>
      <c r="L1593" s="526"/>
      <c r="M1593" s="202"/>
      <c r="N1593" s="525"/>
      <c r="O1593" s="157"/>
      <c r="P1593" s="248"/>
      <c r="Q1593" s="158"/>
      <c r="R1593" s="255"/>
      <c r="S1593" s="159"/>
      <c r="T1593" s="225"/>
      <c r="U1593" s="240"/>
    </row>
    <row r="1594" spans="1:21" s="233" customFormat="1" hidden="1" outlineLevel="2" collapsed="1">
      <c r="A1594" s="232"/>
      <c r="B1594" s="313"/>
      <c r="C1594" s="313" t="s">
        <v>596</v>
      </c>
      <c r="D1594" s="362"/>
      <c r="E1594" s="203"/>
      <c r="F1594" s="201"/>
      <c r="G1594" s="205"/>
      <c r="H1594" s="203"/>
      <c r="I1594" s="203"/>
      <c r="J1594" s="203"/>
      <c r="K1594" s="222"/>
      <c r="L1594" s="526"/>
      <c r="M1594" s="202"/>
      <c r="N1594" s="251"/>
      <c r="O1594" s="157"/>
      <c r="P1594" s="248"/>
      <c r="Q1594" s="158"/>
      <c r="R1594" s="255"/>
      <c r="S1594" s="159"/>
      <c r="T1594" s="225"/>
      <c r="U1594" s="483" t="s">
        <v>1157</v>
      </c>
    </row>
    <row r="1595" spans="1:21" s="233" customFormat="1" hidden="1" outlineLevel="3">
      <c r="A1595" s="232"/>
      <c r="B1595" s="313" t="s">
        <v>597</v>
      </c>
      <c r="C1595" s="532"/>
      <c r="D1595" s="564"/>
      <c r="E1595" s="203"/>
      <c r="F1595" s="201"/>
      <c r="G1595" s="205"/>
      <c r="H1595" s="203"/>
      <c r="I1595" s="203"/>
      <c r="J1595" s="203"/>
      <c r="K1595" s="222"/>
      <c r="L1595" s="526"/>
      <c r="M1595" s="202"/>
      <c r="N1595" s="251"/>
      <c r="O1595" s="157"/>
      <c r="P1595" s="248"/>
      <c r="Q1595" s="158"/>
      <c r="R1595" s="255"/>
      <c r="S1595" s="159"/>
      <c r="T1595" s="225"/>
      <c r="U1595" s="483"/>
    </row>
    <row r="1596" spans="1:21" s="233" customFormat="1" hidden="1" outlineLevel="2" collapsed="1">
      <c r="A1596" s="232"/>
      <c r="B1596" s="313"/>
      <c r="C1596" s="313" t="s">
        <v>597</v>
      </c>
      <c r="D1596" s="362"/>
      <c r="E1596" s="203"/>
      <c r="F1596" s="201"/>
      <c r="G1596" s="205"/>
      <c r="H1596" s="203"/>
      <c r="I1596" s="203"/>
      <c r="J1596" s="203"/>
      <c r="K1596" s="222"/>
      <c r="L1596" s="526"/>
      <c r="M1596" s="202"/>
      <c r="N1596" s="251"/>
      <c r="O1596" s="157"/>
      <c r="P1596" s="248"/>
      <c r="Q1596" s="158"/>
      <c r="R1596" s="255"/>
      <c r="S1596" s="159"/>
      <c r="T1596" s="225"/>
      <c r="U1596" s="483" t="s">
        <v>1158</v>
      </c>
    </row>
    <row r="1597" spans="1:21" s="233" customFormat="1" hidden="1" outlineLevel="3">
      <c r="A1597" s="232"/>
      <c r="B1597" s="313" t="s">
        <v>598</v>
      </c>
      <c r="C1597" s="528"/>
      <c r="D1597" s="563"/>
      <c r="E1597" s="203"/>
      <c r="F1597" s="201"/>
      <c r="G1597" s="205"/>
      <c r="H1597" s="203"/>
      <c r="I1597" s="203"/>
      <c r="J1597" s="203"/>
      <c r="K1597" s="222"/>
      <c r="L1597" s="167"/>
      <c r="M1597" s="202"/>
      <c r="N1597" s="525"/>
      <c r="O1597" s="157"/>
      <c r="P1597" s="244"/>
      <c r="Q1597" s="158"/>
      <c r="R1597" s="255"/>
      <c r="S1597" s="159"/>
      <c r="T1597" s="225"/>
      <c r="U1597" s="390"/>
    </row>
    <row r="1598" spans="1:21" ht="15.75" hidden="1" outlineLevel="3">
      <c r="A1598" s="162"/>
      <c r="B1598" s="529"/>
      <c r="C1598" s="313" t="s">
        <v>503</v>
      </c>
      <c r="D1598" s="362"/>
      <c r="E1598" s="219"/>
      <c r="F1598" s="217"/>
      <c r="G1598" s="254"/>
      <c r="H1598" s="219"/>
      <c r="I1598" s="219"/>
      <c r="J1598" s="219"/>
      <c r="K1598" s="218"/>
      <c r="L1598" s="167"/>
      <c r="M1598" s="202"/>
      <c r="N1598" s="525"/>
      <c r="O1598" s="203"/>
      <c r="P1598" s="244"/>
      <c r="Q1598" s="201"/>
      <c r="R1598" s="255"/>
      <c r="S1598" s="226"/>
      <c r="T1598" s="235"/>
      <c r="U1598" s="390"/>
    </row>
    <row r="1599" spans="1:21" ht="15.75" hidden="1" outlineLevel="3">
      <c r="A1599" s="162"/>
      <c r="B1599" s="529"/>
      <c r="C1599" s="530" t="s">
        <v>520</v>
      </c>
      <c r="D1599" s="531"/>
      <c r="E1599" s="219"/>
      <c r="F1599" s="217"/>
      <c r="G1599" s="254"/>
      <c r="H1599" s="219"/>
      <c r="I1599" s="219"/>
      <c r="J1599" s="219"/>
      <c r="K1599" s="218"/>
      <c r="L1599" s="167"/>
      <c r="M1599" s="202"/>
      <c r="N1599" s="525"/>
      <c r="O1599" s="203"/>
      <c r="P1599" s="244"/>
      <c r="Q1599" s="201"/>
      <c r="R1599" s="255"/>
      <c r="S1599" s="226"/>
      <c r="T1599" s="235"/>
      <c r="U1599" s="390"/>
    </row>
    <row r="1600" spans="1:21" ht="15.75" hidden="1" outlineLevel="3">
      <c r="A1600" s="162"/>
      <c r="B1600" s="529"/>
      <c r="C1600" s="530" t="s">
        <v>478</v>
      </c>
      <c r="D1600" s="531"/>
      <c r="E1600" s="219"/>
      <c r="F1600" s="217"/>
      <c r="G1600" s="254"/>
      <c r="H1600" s="219"/>
      <c r="I1600" s="219"/>
      <c r="J1600" s="219"/>
      <c r="K1600" s="218"/>
      <c r="L1600" s="167"/>
      <c r="M1600" s="202"/>
      <c r="N1600" s="525"/>
      <c r="O1600" s="203"/>
      <c r="P1600" s="244"/>
      <c r="Q1600" s="201"/>
      <c r="R1600" s="255"/>
      <c r="S1600" s="226"/>
      <c r="T1600" s="235"/>
      <c r="U1600" s="390"/>
    </row>
    <row r="1601" spans="1:21" ht="15.75" hidden="1" outlineLevel="3">
      <c r="A1601" s="162"/>
      <c r="B1601" s="529"/>
      <c r="C1601" s="530" t="s">
        <v>479</v>
      </c>
      <c r="D1601" s="531"/>
      <c r="E1601" s="219"/>
      <c r="F1601" s="217"/>
      <c r="G1601" s="254"/>
      <c r="H1601" s="219"/>
      <c r="I1601" s="219"/>
      <c r="J1601" s="219"/>
      <c r="K1601" s="218"/>
      <c r="L1601" s="220"/>
      <c r="M1601" s="204"/>
      <c r="N1601" s="525"/>
      <c r="O1601" s="203"/>
      <c r="P1601" s="244"/>
      <c r="Q1601" s="201"/>
      <c r="R1601" s="255"/>
      <c r="S1601" s="226"/>
      <c r="T1601" s="235"/>
      <c r="U1601" s="390"/>
    </row>
    <row r="1602" spans="1:21" ht="15.75" hidden="1" outlineLevel="3">
      <c r="A1602" s="162"/>
      <c r="B1602" s="529"/>
      <c r="C1602" s="530" t="s">
        <v>480</v>
      </c>
      <c r="D1602" s="531"/>
      <c r="E1602" s="219"/>
      <c r="F1602" s="217"/>
      <c r="G1602" s="254"/>
      <c r="H1602" s="219"/>
      <c r="I1602" s="219"/>
      <c r="J1602" s="219"/>
      <c r="K1602" s="218"/>
      <c r="L1602" s="167"/>
      <c r="M1602" s="202"/>
      <c r="N1602" s="525"/>
      <c r="O1602" s="203"/>
      <c r="P1602" s="244"/>
      <c r="Q1602" s="201"/>
      <c r="R1602" s="255"/>
      <c r="S1602" s="226"/>
      <c r="T1602" s="235"/>
      <c r="U1602" s="390"/>
    </row>
    <row r="1603" spans="1:21" ht="15.75" hidden="1" outlineLevel="3">
      <c r="A1603" s="162"/>
      <c r="B1603" s="529"/>
      <c r="C1603" s="530" t="s">
        <v>512</v>
      </c>
      <c r="D1603" s="531"/>
      <c r="E1603" s="219"/>
      <c r="F1603" s="217"/>
      <c r="G1603" s="254"/>
      <c r="H1603" s="219"/>
      <c r="I1603" s="219"/>
      <c r="J1603" s="219"/>
      <c r="K1603" s="218"/>
      <c r="L1603" s="167"/>
      <c r="M1603" s="202"/>
      <c r="N1603" s="525"/>
      <c r="O1603" s="203"/>
      <c r="P1603" s="244"/>
      <c r="Q1603" s="201"/>
      <c r="R1603" s="255"/>
      <c r="S1603" s="226"/>
      <c r="T1603" s="235"/>
      <c r="U1603" s="390"/>
    </row>
    <row r="1604" spans="1:21" ht="15.75" hidden="1" outlineLevel="3">
      <c r="A1604" s="162"/>
      <c r="B1604" s="529"/>
      <c r="C1604" s="313" t="s">
        <v>504</v>
      </c>
      <c r="D1604" s="362"/>
      <c r="E1604" s="219"/>
      <c r="F1604" s="217"/>
      <c r="G1604" s="254"/>
      <c r="H1604" s="219"/>
      <c r="I1604" s="219"/>
      <c r="J1604" s="219"/>
      <c r="K1604" s="218"/>
      <c r="L1604" s="167"/>
      <c r="M1604" s="202"/>
      <c r="N1604" s="525"/>
      <c r="O1604" s="203"/>
      <c r="P1604" s="244"/>
      <c r="Q1604" s="201"/>
      <c r="R1604" s="255"/>
      <c r="S1604" s="226"/>
      <c r="T1604" s="235"/>
      <c r="U1604" s="390"/>
    </row>
    <row r="1605" spans="1:21" ht="15.75" hidden="1" outlineLevel="3">
      <c r="A1605" s="162"/>
      <c r="B1605" s="529"/>
      <c r="C1605" s="530" t="s">
        <v>483</v>
      </c>
      <c r="D1605" s="531"/>
      <c r="E1605" s="219"/>
      <c r="F1605" s="217"/>
      <c r="G1605" s="254"/>
      <c r="H1605" s="219"/>
      <c r="I1605" s="219"/>
      <c r="J1605" s="219"/>
      <c r="K1605" s="218"/>
      <c r="L1605" s="167"/>
      <c r="M1605" s="202"/>
      <c r="N1605" s="525"/>
      <c r="O1605" s="203"/>
      <c r="P1605" s="244"/>
      <c r="Q1605" s="201"/>
      <c r="R1605" s="255"/>
      <c r="S1605" s="226"/>
      <c r="T1605" s="235"/>
      <c r="U1605" s="390"/>
    </row>
    <row r="1606" spans="1:21" ht="15.75" hidden="1" outlineLevel="3">
      <c r="A1606" s="162"/>
      <c r="B1606" s="529"/>
      <c r="C1606" s="530" t="s">
        <v>484</v>
      </c>
      <c r="D1606" s="531"/>
      <c r="E1606" s="219"/>
      <c r="F1606" s="217"/>
      <c r="G1606" s="254"/>
      <c r="H1606" s="219"/>
      <c r="I1606" s="219"/>
      <c r="J1606" s="219"/>
      <c r="K1606" s="218"/>
      <c r="L1606" s="167"/>
      <c r="M1606" s="202"/>
      <c r="N1606" s="525"/>
      <c r="O1606" s="239"/>
      <c r="P1606" s="244"/>
      <c r="Q1606" s="201"/>
      <c r="R1606" s="255"/>
      <c r="S1606" s="226"/>
      <c r="T1606" s="235"/>
      <c r="U1606" s="390"/>
    </row>
    <row r="1607" spans="1:21" ht="15.75" hidden="1" outlineLevel="3">
      <c r="A1607" s="162"/>
      <c r="B1607" s="529"/>
      <c r="C1607" s="530" t="s">
        <v>479</v>
      </c>
      <c r="D1607" s="531"/>
      <c r="E1607" s="219"/>
      <c r="F1607" s="217"/>
      <c r="G1607" s="254"/>
      <c r="H1607" s="219"/>
      <c r="I1607" s="219"/>
      <c r="J1607" s="219"/>
      <c r="K1607" s="218"/>
      <c r="L1607" s="167"/>
      <c r="M1607" s="202"/>
      <c r="N1607" s="525"/>
      <c r="O1607" s="203"/>
      <c r="P1607" s="244"/>
      <c r="Q1607" s="201"/>
      <c r="R1607" s="255"/>
      <c r="S1607" s="226"/>
      <c r="T1607" s="235"/>
      <c r="U1607" s="390"/>
    </row>
    <row r="1608" spans="1:21" ht="15.75" hidden="1" outlineLevel="3">
      <c r="A1608" s="162"/>
      <c r="B1608" s="529"/>
      <c r="C1608" s="530" t="s">
        <v>485</v>
      </c>
      <c r="D1608" s="531"/>
      <c r="E1608" s="219"/>
      <c r="F1608" s="217"/>
      <c r="G1608" s="254"/>
      <c r="H1608" s="219"/>
      <c r="I1608" s="219"/>
      <c r="J1608" s="219"/>
      <c r="K1608" s="218"/>
      <c r="L1608" s="167"/>
      <c r="M1608" s="202"/>
      <c r="N1608" s="525"/>
      <c r="O1608" s="203"/>
      <c r="P1608" s="244"/>
      <c r="Q1608" s="201"/>
      <c r="R1608" s="255"/>
      <c r="S1608" s="226"/>
      <c r="T1608" s="235"/>
      <c r="U1608" s="390"/>
    </row>
    <row r="1609" spans="1:21" ht="15.75" hidden="1" outlineLevel="3">
      <c r="A1609" s="162"/>
      <c r="B1609" s="529"/>
      <c r="C1609" s="313" t="s">
        <v>505</v>
      </c>
      <c r="D1609" s="362"/>
      <c r="E1609" s="219"/>
      <c r="F1609" s="217"/>
      <c r="G1609" s="254"/>
      <c r="H1609" s="219"/>
      <c r="I1609" s="219"/>
      <c r="J1609" s="219"/>
      <c r="K1609" s="218"/>
      <c r="L1609" s="167"/>
      <c r="M1609" s="202"/>
      <c r="N1609" s="525"/>
      <c r="O1609" s="203"/>
      <c r="P1609" s="244"/>
      <c r="Q1609" s="201"/>
      <c r="R1609" s="255"/>
      <c r="S1609" s="226"/>
      <c r="T1609" s="235"/>
      <c r="U1609" s="390"/>
    </row>
    <row r="1610" spans="1:21" ht="15.75" hidden="1" outlineLevel="3">
      <c r="A1610" s="162"/>
      <c r="B1610" s="529"/>
      <c r="C1610" s="530" t="s">
        <v>487</v>
      </c>
      <c r="D1610" s="531"/>
      <c r="E1610" s="219"/>
      <c r="F1610" s="217"/>
      <c r="G1610" s="254"/>
      <c r="H1610" s="219"/>
      <c r="I1610" s="219"/>
      <c r="J1610" s="219"/>
      <c r="K1610" s="218"/>
      <c r="L1610" s="167"/>
      <c r="M1610" s="202"/>
      <c r="N1610" s="525"/>
      <c r="O1610" s="203"/>
      <c r="P1610" s="244"/>
      <c r="Q1610" s="201"/>
      <c r="R1610" s="255"/>
      <c r="S1610" s="226"/>
      <c r="T1610" s="235"/>
      <c r="U1610" s="390"/>
    </row>
    <row r="1611" spans="1:21" ht="15.75" hidden="1" outlineLevel="3">
      <c r="A1611" s="162"/>
      <c r="B1611" s="529"/>
      <c r="C1611" s="530" t="s">
        <v>479</v>
      </c>
      <c r="D1611" s="531"/>
      <c r="E1611" s="219"/>
      <c r="F1611" s="217"/>
      <c r="G1611" s="254"/>
      <c r="H1611" s="219"/>
      <c r="I1611" s="219"/>
      <c r="J1611" s="219"/>
      <c r="K1611" s="218"/>
      <c r="L1611" s="167"/>
      <c r="M1611" s="202"/>
      <c r="N1611" s="525"/>
      <c r="O1611" s="203"/>
      <c r="P1611" s="244"/>
      <c r="Q1611" s="201"/>
      <c r="R1611" s="255"/>
      <c r="S1611" s="226"/>
      <c r="T1611" s="235"/>
      <c r="U1611" s="390"/>
    </row>
    <row r="1612" spans="1:21" ht="15.75" hidden="1" outlineLevel="3">
      <c r="A1612" s="162"/>
      <c r="B1612" s="529"/>
      <c r="C1612" s="530" t="s">
        <v>488</v>
      </c>
      <c r="D1612" s="531"/>
      <c r="E1612" s="219"/>
      <c r="F1612" s="217"/>
      <c r="G1612" s="254"/>
      <c r="H1612" s="219"/>
      <c r="I1612" s="219"/>
      <c r="J1612" s="219"/>
      <c r="K1612" s="218"/>
      <c r="L1612" s="167"/>
      <c r="M1612" s="202"/>
      <c r="N1612" s="525"/>
      <c r="O1612" s="203"/>
      <c r="P1612" s="244"/>
      <c r="Q1612" s="201"/>
      <c r="R1612" s="255"/>
      <c r="S1612" s="226"/>
      <c r="T1612" s="235"/>
      <c r="U1612" s="390"/>
    </row>
    <row r="1613" spans="1:21" ht="15.75" hidden="1" outlineLevel="3">
      <c r="A1613" s="162"/>
      <c r="B1613" s="529"/>
      <c r="C1613" s="530" t="s">
        <v>489</v>
      </c>
      <c r="D1613" s="531"/>
      <c r="E1613" s="219"/>
      <c r="F1613" s="217"/>
      <c r="G1613" s="254"/>
      <c r="H1613" s="219"/>
      <c r="I1613" s="219"/>
      <c r="J1613" s="219"/>
      <c r="K1613" s="218"/>
      <c r="L1613" s="167"/>
      <c r="M1613" s="202"/>
      <c r="N1613" s="525"/>
      <c r="O1613" s="203"/>
      <c r="P1613" s="244"/>
      <c r="Q1613" s="201"/>
      <c r="R1613" s="255"/>
      <c r="S1613" s="226"/>
      <c r="T1613" s="235"/>
      <c r="U1613" s="390"/>
    </row>
    <row r="1614" spans="1:21" ht="15.75" hidden="1" outlineLevel="3">
      <c r="A1614" s="162"/>
      <c r="B1614" s="529"/>
      <c r="C1614" s="313" t="s">
        <v>506</v>
      </c>
      <c r="D1614" s="362"/>
      <c r="E1614" s="219"/>
      <c r="F1614" s="217"/>
      <c r="G1614" s="254"/>
      <c r="H1614" s="219"/>
      <c r="I1614" s="219"/>
      <c r="J1614" s="219"/>
      <c r="K1614" s="218"/>
      <c r="L1614" s="167"/>
      <c r="M1614" s="202"/>
      <c r="N1614" s="525"/>
      <c r="O1614" s="203"/>
      <c r="P1614" s="244"/>
      <c r="Q1614" s="201"/>
      <c r="R1614" s="255"/>
      <c r="S1614" s="226"/>
      <c r="T1614" s="235"/>
      <c r="U1614" s="390"/>
    </row>
    <row r="1615" spans="1:21" ht="15.75" hidden="1" outlineLevel="3">
      <c r="A1615" s="162"/>
      <c r="B1615" s="529"/>
      <c r="C1615" s="530" t="s">
        <v>491</v>
      </c>
      <c r="D1615" s="531"/>
      <c r="E1615" s="219"/>
      <c r="F1615" s="217"/>
      <c r="G1615" s="254"/>
      <c r="H1615" s="219"/>
      <c r="I1615" s="219"/>
      <c r="J1615" s="219"/>
      <c r="K1615" s="218"/>
      <c r="L1615" s="167"/>
      <c r="M1615" s="202"/>
      <c r="N1615" s="525"/>
      <c r="O1615" s="203"/>
      <c r="P1615" s="244"/>
      <c r="Q1615" s="201"/>
      <c r="R1615" s="255"/>
      <c r="S1615" s="159">
        <f t="shared" ref="S1615:S1617" si="104">SUM(L1615,N1615,P1615,R1615)</f>
        <v>0</v>
      </c>
      <c r="T1615" s="235"/>
      <c r="U1615" s="390" t="s">
        <v>599</v>
      </c>
    </row>
    <row r="1616" spans="1:21" ht="15.75" hidden="1" outlineLevel="3">
      <c r="A1616" s="162"/>
      <c r="B1616" s="529"/>
      <c r="C1616" s="530" t="s">
        <v>492</v>
      </c>
      <c r="D1616" s="531"/>
      <c r="E1616" s="219"/>
      <c r="F1616" s="217"/>
      <c r="G1616" s="254"/>
      <c r="H1616" s="219"/>
      <c r="I1616" s="219"/>
      <c r="J1616" s="219"/>
      <c r="K1616" s="218"/>
      <c r="L1616" s="167"/>
      <c r="M1616" s="202"/>
      <c r="N1616" s="525"/>
      <c r="O1616" s="203"/>
      <c r="P1616" s="244"/>
      <c r="Q1616" s="201"/>
      <c r="R1616" s="255"/>
      <c r="S1616" s="226"/>
      <c r="T1616" s="235"/>
      <c r="U1616" s="390"/>
    </row>
    <row r="1617" spans="1:21" ht="15.75" hidden="1" outlineLevel="3">
      <c r="A1617" s="162"/>
      <c r="B1617" s="529"/>
      <c r="C1617" s="530" t="s">
        <v>493</v>
      </c>
      <c r="D1617" s="531"/>
      <c r="E1617" s="219"/>
      <c r="F1617" s="217"/>
      <c r="G1617" s="254"/>
      <c r="H1617" s="219"/>
      <c r="I1617" s="219"/>
      <c r="J1617" s="219"/>
      <c r="K1617" s="218"/>
      <c r="L1617" s="167"/>
      <c r="M1617" s="201">
        <v>115000</v>
      </c>
      <c r="N1617" s="525">
        <f>M1617*1.23</f>
        <v>141450</v>
      </c>
      <c r="O1617" s="203"/>
      <c r="P1617" s="244"/>
      <c r="Q1617" s="201"/>
      <c r="R1617" s="255"/>
      <c r="S1617" s="159">
        <f t="shared" si="104"/>
        <v>141450</v>
      </c>
      <c r="T1617" s="235"/>
      <c r="U1617" s="390" t="s">
        <v>600</v>
      </c>
    </row>
    <row r="1618" spans="1:21" ht="15.75" hidden="1" outlineLevel="3">
      <c r="A1618" s="162"/>
      <c r="B1618" s="529"/>
      <c r="C1618" s="530" t="s">
        <v>494</v>
      </c>
      <c r="D1618" s="531"/>
      <c r="E1618" s="219"/>
      <c r="F1618" s="217"/>
      <c r="G1618" s="254"/>
      <c r="H1618" s="219"/>
      <c r="I1618" s="219"/>
      <c r="J1618" s="219"/>
      <c r="K1618" s="218"/>
      <c r="L1618" s="167"/>
      <c r="M1618" s="202"/>
      <c r="N1618" s="525"/>
      <c r="O1618" s="203"/>
      <c r="P1618" s="244"/>
      <c r="Q1618" s="201"/>
      <c r="R1618" s="255"/>
      <c r="S1618" s="226"/>
      <c r="T1618" s="235"/>
      <c r="U1618" s="483"/>
    </row>
    <row r="1619" spans="1:21" ht="15.75" hidden="1" outlineLevel="3">
      <c r="A1619" s="162"/>
      <c r="B1619" s="529"/>
      <c r="C1619" s="313" t="s">
        <v>507</v>
      </c>
      <c r="D1619" s="362"/>
      <c r="E1619" s="219"/>
      <c r="F1619" s="217"/>
      <c r="G1619" s="254"/>
      <c r="H1619" s="219"/>
      <c r="I1619" s="219"/>
      <c r="J1619" s="219"/>
      <c r="K1619" s="218"/>
      <c r="L1619" s="167"/>
      <c r="M1619" s="202"/>
      <c r="N1619" s="525"/>
      <c r="O1619" s="203"/>
      <c r="P1619" s="244"/>
      <c r="Q1619" s="201"/>
      <c r="R1619" s="255"/>
      <c r="S1619" s="226"/>
      <c r="T1619" s="235"/>
      <c r="U1619" s="390"/>
    </row>
    <row r="1620" spans="1:21" ht="15.75" hidden="1" outlineLevel="3">
      <c r="A1620" s="162"/>
      <c r="B1620" s="529"/>
      <c r="C1620" s="532" t="s">
        <v>496</v>
      </c>
      <c r="D1620" s="533"/>
      <c r="E1620" s="219"/>
      <c r="F1620" s="217"/>
      <c r="G1620" s="254"/>
      <c r="H1620" s="219"/>
      <c r="I1620" s="219"/>
      <c r="J1620" s="219"/>
      <c r="K1620" s="218"/>
      <c r="L1620" s="167"/>
      <c r="M1620" s="202"/>
      <c r="N1620" s="525"/>
      <c r="O1620" s="203"/>
      <c r="P1620" s="244"/>
      <c r="Q1620" s="201"/>
      <c r="R1620" s="255"/>
      <c r="S1620" s="226"/>
      <c r="T1620" s="235"/>
      <c r="U1620" s="390"/>
    </row>
    <row r="1621" spans="1:21" ht="15.75" hidden="1" outlineLevel="3">
      <c r="A1621" s="162"/>
      <c r="B1621" s="529"/>
      <c r="C1621" s="532" t="s">
        <v>497</v>
      </c>
      <c r="D1621" s="533"/>
      <c r="E1621" s="219"/>
      <c r="F1621" s="217"/>
      <c r="G1621" s="254"/>
      <c r="H1621" s="219"/>
      <c r="I1621" s="219"/>
      <c r="J1621" s="219"/>
      <c r="K1621" s="218"/>
      <c r="L1621" s="167"/>
      <c r="M1621" s="202"/>
      <c r="N1621" s="525"/>
      <c r="O1621" s="203"/>
      <c r="P1621" s="244"/>
      <c r="Q1621" s="201"/>
      <c r="R1621" s="255"/>
      <c r="S1621" s="226"/>
      <c r="T1621" s="235"/>
      <c r="U1621" s="390"/>
    </row>
    <row r="1622" spans="1:21" ht="15.75" hidden="1" outlineLevel="3">
      <c r="A1622" s="162"/>
      <c r="B1622" s="529"/>
      <c r="C1622" s="532" t="s">
        <v>499</v>
      </c>
      <c r="D1622" s="533"/>
      <c r="E1622" s="219"/>
      <c r="F1622" s="217"/>
      <c r="G1622" s="254"/>
      <c r="H1622" s="219"/>
      <c r="I1622" s="219"/>
      <c r="J1622" s="219"/>
      <c r="K1622" s="218"/>
      <c r="L1622" s="167"/>
      <c r="M1622" s="202"/>
      <c r="N1622" s="525"/>
      <c r="O1622" s="203"/>
      <c r="P1622" s="244"/>
      <c r="Q1622" s="201"/>
      <c r="R1622" s="255"/>
      <c r="S1622" s="226"/>
      <c r="T1622" s="235"/>
      <c r="U1622" s="390"/>
    </row>
    <row r="1623" spans="1:21" ht="15.75" hidden="1" outlineLevel="3">
      <c r="A1623" s="162"/>
      <c r="B1623" s="529"/>
      <c r="C1623" s="532" t="s">
        <v>526</v>
      </c>
      <c r="D1623" s="533"/>
      <c r="E1623" s="219"/>
      <c r="F1623" s="217"/>
      <c r="G1623" s="254"/>
      <c r="H1623" s="219"/>
      <c r="I1623" s="219"/>
      <c r="J1623" s="219"/>
      <c r="K1623" s="218"/>
      <c r="L1623" s="167"/>
      <c r="M1623" s="203"/>
      <c r="N1623" s="525"/>
      <c r="O1623" s="203"/>
      <c r="P1623" s="244"/>
      <c r="Q1623" s="201"/>
      <c r="R1623" s="255"/>
      <c r="S1623" s="226"/>
      <c r="T1623" s="235"/>
      <c r="U1623" s="483"/>
    </row>
    <row r="1624" spans="1:21" ht="15.75" hidden="1" outlineLevel="3">
      <c r="A1624" s="162"/>
      <c r="B1624" s="529"/>
      <c r="C1624" s="532" t="s">
        <v>601</v>
      </c>
      <c r="D1624" s="533"/>
      <c r="E1624" s="219"/>
      <c r="F1624" s="217"/>
      <c r="G1624" s="254"/>
      <c r="H1624" s="219"/>
      <c r="I1624" s="219"/>
      <c r="J1624" s="219"/>
      <c r="K1624" s="218"/>
      <c r="L1624" s="167"/>
      <c r="M1624" s="203">
        <v>5000000</v>
      </c>
      <c r="N1624" s="525">
        <f>M1624*1.23</f>
        <v>6150000</v>
      </c>
      <c r="O1624" s="203"/>
      <c r="P1624" s="244"/>
      <c r="Q1624" s="201"/>
      <c r="R1624" s="255"/>
      <c r="S1624" s="159">
        <f t="shared" ref="S1624:S1625" si="105">SUM(L1624,N1624,P1624,R1624)</f>
        <v>6150000</v>
      </c>
      <c r="T1624" s="235"/>
      <c r="U1624" s="483"/>
    </row>
    <row r="1625" spans="1:21" ht="15.75" hidden="1" outlineLevel="2" collapsed="1">
      <c r="A1625" s="162"/>
      <c r="B1625" s="529"/>
      <c r="C1625" s="313" t="s">
        <v>598</v>
      </c>
      <c r="D1625" s="362"/>
      <c r="E1625" s="219"/>
      <c r="F1625" s="217"/>
      <c r="G1625" s="383"/>
      <c r="H1625" s="251"/>
      <c r="I1625" s="251"/>
      <c r="J1625" s="251"/>
      <c r="K1625" s="523"/>
      <c r="L1625" s="226"/>
      <c r="M1625" s="203">
        <f>SUM(M1600:M1624)</f>
        <v>5115000</v>
      </c>
      <c r="N1625" s="251">
        <f>M1625*1.23</f>
        <v>6291450</v>
      </c>
      <c r="O1625" s="203"/>
      <c r="P1625" s="244"/>
      <c r="Q1625" s="201"/>
      <c r="R1625" s="255"/>
      <c r="S1625" s="159">
        <f t="shared" si="105"/>
        <v>6291450</v>
      </c>
      <c r="T1625" s="235"/>
      <c r="U1625" s="483" t="s">
        <v>602</v>
      </c>
    </row>
    <row r="1626" spans="1:21" s="233" customFormat="1" hidden="1" outlineLevel="3">
      <c r="A1626" s="232"/>
      <c r="B1626" s="313" t="s">
        <v>603</v>
      </c>
      <c r="C1626" s="532"/>
      <c r="D1626" s="564"/>
      <c r="E1626" s="203"/>
      <c r="F1626" s="201"/>
      <c r="G1626" s="205"/>
      <c r="H1626" s="203"/>
      <c r="I1626" s="203"/>
      <c r="J1626" s="203"/>
      <c r="K1626" s="222"/>
      <c r="L1626" s="167"/>
      <c r="M1626" s="202"/>
      <c r="N1626" s="525"/>
      <c r="O1626" s="157"/>
      <c r="P1626" s="244"/>
      <c r="Q1626" s="158"/>
      <c r="R1626" s="255"/>
      <c r="S1626" s="159"/>
      <c r="T1626" s="225"/>
      <c r="U1626" s="390"/>
    </row>
    <row r="1627" spans="1:21" ht="15.75" hidden="1" outlineLevel="3">
      <c r="A1627" s="162"/>
      <c r="B1627" s="529"/>
      <c r="C1627" s="313" t="s">
        <v>503</v>
      </c>
      <c r="D1627" s="362"/>
      <c r="E1627" s="219"/>
      <c r="F1627" s="217"/>
      <c r="G1627" s="254"/>
      <c r="H1627" s="219"/>
      <c r="I1627" s="219"/>
      <c r="J1627" s="219"/>
      <c r="K1627" s="218"/>
      <c r="L1627" s="167"/>
      <c r="M1627" s="202"/>
      <c r="N1627" s="525"/>
      <c r="O1627" s="203"/>
      <c r="P1627" s="244"/>
      <c r="Q1627" s="201"/>
      <c r="R1627" s="255"/>
      <c r="S1627" s="226"/>
      <c r="T1627" s="235"/>
      <c r="U1627" s="390"/>
    </row>
    <row r="1628" spans="1:21" ht="15.75" hidden="1" outlineLevel="3">
      <c r="A1628" s="162"/>
      <c r="B1628" s="529"/>
      <c r="C1628" s="530" t="s">
        <v>520</v>
      </c>
      <c r="D1628" s="531"/>
      <c r="E1628" s="219"/>
      <c r="F1628" s="217"/>
      <c r="G1628" s="254"/>
      <c r="H1628" s="219"/>
      <c r="I1628" s="219"/>
      <c r="J1628" s="219"/>
      <c r="K1628" s="218"/>
      <c r="L1628" s="167"/>
      <c r="M1628" s="202"/>
      <c r="N1628" s="525"/>
      <c r="O1628" s="203"/>
      <c r="P1628" s="244"/>
      <c r="Q1628" s="201"/>
      <c r="R1628" s="255"/>
      <c r="S1628" s="226"/>
      <c r="T1628" s="235"/>
      <c r="U1628" s="390" t="s">
        <v>604</v>
      </c>
    </row>
    <row r="1629" spans="1:21" ht="15.75" hidden="1" outlineLevel="3">
      <c r="A1629" s="162"/>
      <c r="B1629" s="529"/>
      <c r="C1629" s="530" t="s">
        <v>478</v>
      </c>
      <c r="D1629" s="531"/>
      <c r="E1629" s="219"/>
      <c r="F1629" s="217"/>
      <c r="G1629" s="254"/>
      <c r="H1629" s="219"/>
      <c r="I1629" s="219"/>
      <c r="J1629" s="219"/>
      <c r="K1629" s="218"/>
      <c r="L1629" s="167"/>
      <c r="M1629" s="202"/>
      <c r="N1629" s="525"/>
      <c r="O1629" s="203"/>
      <c r="P1629" s="244"/>
      <c r="Q1629" s="201"/>
      <c r="R1629" s="255"/>
      <c r="S1629" s="226"/>
      <c r="T1629" s="235"/>
      <c r="U1629" s="390"/>
    </row>
    <row r="1630" spans="1:21" ht="15.75" hidden="1" outlineLevel="3">
      <c r="A1630" s="162"/>
      <c r="B1630" s="529"/>
      <c r="C1630" s="530" t="s">
        <v>479</v>
      </c>
      <c r="D1630" s="531"/>
      <c r="E1630" s="219"/>
      <c r="F1630" s="217"/>
      <c r="G1630" s="254"/>
      <c r="H1630" s="219"/>
      <c r="I1630" s="219"/>
      <c r="J1630" s="219"/>
      <c r="K1630" s="218"/>
      <c r="L1630" s="220"/>
      <c r="M1630" s="528"/>
      <c r="N1630" s="525"/>
      <c r="O1630" s="203"/>
      <c r="P1630" s="244"/>
      <c r="Q1630" s="201"/>
      <c r="R1630" s="255"/>
      <c r="S1630" s="226"/>
      <c r="T1630" s="235"/>
      <c r="U1630" s="390"/>
    </row>
    <row r="1631" spans="1:21" ht="15.75" hidden="1" outlineLevel="3">
      <c r="A1631" s="162"/>
      <c r="B1631" s="529"/>
      <c r="C1631" s="530" t="s">
        <v>480</v>
      </c>
      <c r="D1631" s="531"/>
      <c r="E1631" s="219"/>
      <c r="F1631" s="217"/>
      <c r="G1631" s="254"/>
      <c r="H1631" s="219"/>
      <c r="I1631" s="219"/>
      <c r="J1631" s="219"/>
      <c r="K1631" s="218"/>
      <c r="L1631" s="167"/>
      <c r="M1631" s="202"/>
      <c r="N1631" s="525"/>
      <c r="O1631" s="203"/>
      <c r="P1631" s="244"/>
      <c r="Q1631" s="201"/>
      <c r="R1631" s="255"/>
      <c r="S1631" s="226"/>
      <c r="T1631" s="235"/>
      <c r="U1631" s="390"/>
    </row>
    <row r="1632" spans="1:21" ht="15.75" hidden="1" outlineLevel="3">
      <c r="A1632" s="162"/>
      <c r="B1632" s="529"/>
      <c r="C1632" s="530" t="s">
        <v>512</v>
      </c>
      <c r="D1632" s="531"/>
      <c r="E1632" s="219"/>
      <c r="F1632" s="217"/>
      <c r="G1632" s="254"/>
      <c r="H1632" s="219"/>
      <c r="I1632" s="219"/>
      <c r="J1632" s="219"/>
      <c r="K1632" s="218"/>
      <c r="L1632" s="167"/>
      <c r="M1632" s="202"/>
      <c r="N1632" s="525"/>
      <c r="O1632" s="203"/>
      <c r="P1632" s="244"/>
      <c r="Q1632" s="201"/>
      <c r="R1632" s="255"/>
      <c r="S1632" s="226"/>
      <c r="T1632" s="235"/>
      <c r="U1632" s="390"/>
    </row>
    <row r="1633" spans="1:21" ht="15.75" hidden="1" outlineLevel="3">
      <c r="A1633" s="162"/>
      <c r="B1633" s="529"/>
      <c r="C1633" s="313" t="s">
        <v>504</v>
      </c>
      <c r="D1633" s="362"/>
      <c r="E1633" s="219"/>
      <c r="F1633" s="217"/>
      <c r="G1633" s="254"/>
      <c r="H1633" s="219"/>
      <c r="I1633" s="219"/>
      <c r="J1633" s="219"/>
      <c r="K1633" s="218"/>
      <c r="L1633" s="167"/>
      <c r="M1633" s="202"/>
      <c r="N1633" s="525"/>
      <c r="O1633" s="203"/>
      <c r="P1633" s="244"/>
      <c r="Q1633" s="201"/>
      <c r="R1633" s="255"/>
      <c r="S1633" s="226"/>
      <c r="T1633" s="235"/>
      <c r="U1633" s="390"/>
    </row>
    <row r="1634" spans="1:21" ht="15.75" hidden="1" outlineLevel="3">
      <c r="A1634" s="162"/>
      <c r="B1634" s="529"/>
      <c r="C1634" s="530" t="s">
        <v>483</v>
      </c>
      <c r="D1634" s="531"/>
      <c r="E1634" s="219"/>
      <c r="F1634" s="217"/>
      <c r="G1634" s="254"/>
      <c r="H1634" s="219"/>
      <c r="I1634" s="219"/>
      <c r="J1634" s="219"/>
      <c r="K1634" s="218"/>
      <c r="L1634" s="167"/>
      <c r="M1634" s="202"/>
      <c r="N1634" s="525"/>
      <c r="O1634" s="203"/>
      <c r="P1634" s="244"/>
      <c r="Q1634" s="201"/>
      <c r="R1634" s="255"/>
      <c r="S1634" s="226"/>
      <c r="T1634" s="235"/>
      <c r="U1634" s="390"/>
    </row>
    <row r="1635" spans="1:21" ht="15.75" hidden="1" outlineLevel="3">
      <c r="A1635" s="162"/>
      <c r="B1635" s="529"/>
      <c r="C1635" s="530" t="s">
        <v>484</v>
      </c>
      <c r="D1635" s="531"/>
      <c r="E1635" s="219"/>
      <c r="F1635" s="217"/>
      <c r="G1635" s="254"/>
      <c r="H1635" s="219"/>
      <c r="I1635" s="219"/>
      <c r="J1635" s="219"/>
      <c r="K1635" s="222"/>
      <c r="L1635" s="167"/>
      <c r="M1635" s="202"/>
      <c r="N1635" s="525"/>
      <c r="O1635" s="239"/>
      <c r="P1635" s="244"/>
      <c r="Q1635" s="201"/>
      <c r="R1635" s="255"/>
      <c r="S1635" s="226"/>
      <c r="T1635" s="235"/>
      <c r="U1635" s="390"/>
    </row>
    <row r="1636" spans="1:21" ht="15.75" hidden="1" outlineLevel="3">
      <c r="A1636" s="162"/>
      <c r="B1636" s="529"/>
      <c r="C1636" s="530" t="s">
        <v>479</v>
      </c>
      <c r="D1636" s="531"/>
      <c r="E1636" s="219"/>
      <c r="F1636" s="217"/>
      <c r="G1636" s="254"/>
      <c r="H1636" s="219"/>
      <c r="I1636" s="219"/>
      <c r="J1636" s="219"/>
      <c r="K1636" s="218"/>
      <c r="L1636" s="167"/>
      <c r="M1636" s="202"/>
      <c r="N1636" s="525"/>
      <c r="O1636" s="203"/>
      <c r="P1636" s="244"/>
      <c r="Q1636" s="201"/>
      <c r="R1636" s="255"/>
      <c r="S1636" s="226"/>
      <c r="T1636" s="235"/>
      <c r="U1636" s="390"/>
    </row>
    <row r="1637" spans="1:21" ht="15.75" hidden="1" outlineLevel="3">
      <c r="A1637" s="162"/>
      <c r="B1637" s="529"/>
      <c r="C1637" s="530" t="s">
        <v>485</v>
      </c>
      <c r="D1637" s="531"/>
      <c r="E1637" s="219"/>
      <c r="F1637" s="217"/>
      <c r="G1637" s="254"/>
      <c r="H1637" s="219"/>
      <c r="I1637" s="219"/>
      <c r="J1637" s="219"/>
      <c r="K1637" s="218"/>
      <c r="L1637" s="167"/>
      <c r="M1637" s="202"/>
      <c r="N1637" s="525"/>
      <c r="O1637" s="203"/>
      <c r="P1637" s="244"/>
      <c r="Q1637" s="201"/>
      <c r="R1637" s="255"/>
      <c r="S1637" s="226"/>
      <c r="T1637" s="235"/>
      <c r="U1637" s="390"/>
    </row>
    <row r="1638" spans="1:21" ht="15.75" hidden="1" outlineLevel="3">
      <c r="A1638" s="162"/>
      <c r="B1638" s="529"/>
      <c r="C1638" s="313" t="s">
        <v>505</v>
      </c>
      <c r="D1638" s="362"/>
      <c r="E1638" s="219"/>
      <c r="F1638" s="217"/>
      <c r="G1638" s="254"/>
      <c r="H1638" s="219"/>
      <c r="I1638" s="219"/>
      <c r="J1638" s="219"/>
      <c r="K1638" s="218"/>
      <c r="L1638" s="167"/>
      <c r="M1638" s="202"/>
      <c r="N1638" s="525"/>
      <c r="O1638" s="203"/>
      <c r="P1638" s="244"/>
      <c r="Q1638" s="201"/>
      <c r="R1638" s="255"/>
      <c r="S1638" s="226"/>
      <c r="T1638" s="235"/>
      <c r="U1638" s="390"/>
    </row>
    <row r="1639" spans="1:21" ht="15.75" hidden="1" outlineLevel="3">
      <c r="A1639" s="162"/>
      <c r="B1639" s="529"/>
      <c r="C1639" s="530" t="s">
        <v>487</v>
      </c>
      <c r="D1639" s="531"/>
      <c r="E1639" s="219"/>
      <c r="F1639" s="217"/>
      <c r="G1639" s="254"/>
      <c r="H1639" s="219"/>
      <c r="I1639" s="219"/>
      <c r="J1639" s="219"/>
      <c r="K1639" s="218"/>
      <c r="L1639" s="167"/>
      <c r="M1639" s="202"/>
      <c r="N1639" s="525"/>
      <c r="O1639" s="203"/>
      <c r="P1639" s="244"/>
      <c r="Q1639" s="201"/>
      <c r="R1639" s="255"/>
      <c r="S1639" s="226"/>
      <c r="T1639" s="235"/>
      <c r="U1639" s="390"/>
    </row>
    <row r="1640" spans="1:21" ht="15.75" hidden="1" outlineLevel="3">
      <c r="A1640" s="162"/>
      <c r="B1640" s="529"/>
      <c r="C1640" s="530" t="s">
        <v>479</v>
      </c>
      <c r="D1640" s="531"/>
      <c r="E1640" s="219"/>
      <c r="F1640" s="217"/>
      <c r="G1640" s="254"/>
      <c r="H1640" s="219"/>
      <c r="I1640" s="219"/>
      <c r="J1640" s="219"/>
      <c r="K1640" s="218"/>
      <c r="L1640" s="167"/>
      <c r="M1640" s="204"/>
      <c r="N1640" s="525"/>
      <c r="O1640" s="203"/>
      <c r="P1640" s="244"/>
      <c r="Q1640" s="201"/>
      <c r="R1640" s="255"/>
      <c r="S1640" s="226"/>
      <c r="T1640" s="235"/>
      <c r="U1640" s="390" t="s">
        <v>605</v>
      </c>
    </row>
    <row r="1641" spans="1:21" ht="15.75" hidden="1" outlineLevel="3">
      <c r="A1641" s="162"/>
      <c r="B1641" s="529"/>
      <c r="C1641" s="530" t="s">
        <v>488</v>
      </c>
      <c r="D1641" s="531"/>
      <c r="E1641" s="219"/>
      <c r="F1641" s="217"/>
      <c r="G1641" s="254"/>
      <c r="H1641" s="219"/>
      <c r="I1641" s="219"/>
      <c r="J1641" s="219"/>
      <c r="K1641" s="218"/>
      <c r="L1641" s="167"/>
      <c r="M1641" s="205">
        <v>109000</v>
      </c>
      <c r="N1641" s="525">
        <f>M1641*1.23</f>
        <v>134070</v>
      </c>
      <c r="O1641" s="203" t="s">
        <v>517</v>
      </c>
      <c r="P1641" s="244"/>
      <c r="Q1641" s="201"/>
      <c r="R1641" s="255"/>
      <c r="S1641" s="159">
        <f t="shared" ref="S1641" si="106">SUM(L1641,N1641,P1641,R1641)</f>
        <v>134070</v>
      </c>
      <c r="T1641" s="235"/>
      <c r="U1641" s="390"/>
    </row>
    <row r="1642" spans="1:21" ht="15.75" hidden="1" outlineLevel="3">
      <c r="A1642" s="162"/>
      <c r="B1642" s="529"/>
      <c r="C1642" s="530" t="s">
        <v>489</v>
      </c>
      <c r="D1642" s="531"/>
      <c r="E1642" s="219"/>
      <c r="F1642" s="217"/>
      <c r="G1642" s="254"/>
      <c r="H1642" s="219"/>
      <c r="I1642" s="219"/>
      <c r="J1642" s="219"/>
      <c r="K1642" s="218"/>
      <c r="L1642" s="167"/>
      <c r="M1642" s="202"/>
      <c r="N1642" s="525"/>
      <c r="O1642" s="203"/>
      <c r="P1642" s="244"/>
      <c r="Q1642" s="201"/>
      <c r="R1642" s="255"/>
      <c r="S1642" s="226"/>
      <c r="T1642" s="235"/>
      <c r="U1642" s="390"/>
    </row>
    <row r="1643" spans="1:21" ht="15.75" hidden="1" outlineLevel="3">
      <c r="A1643" s="162"/>
      <c r="B1643" s="529"/>
      <c r="C1643" s="313" t="s">
        <v>506</v>
      </c>
      <c r="D1643" s="362"/>
      <c r="E1643" s="219"/>
      <c r="F1643" s="217"/>
      <c r="G1643" s="254"/>
      <c r="H1643" s="219"/>
      <c r="I1643" s="219"/>
      <c r="J1643" s="219"/>
      <c r="K1643" s="218"/>
      <c r="L1643" s="167"/>
      <c r="M1643" s="202"/>
      <c r="N1643" s="525"/>
      <c r="O1643" s="203"/>
      <c r="P1643" s="244"/>
      <c r="Q1643" s="201"/>
      <c r="R1643" s="255"/>
      <c r="S1643" s="226"/>
      <c r="T1643" s="235"/>
      <c r="U1643" s="390"/>
    </row>
    <row r="1644" spans="1:21" ht="15.75" hidden="1" outlineLevel="3">
      <c r="A1644" s="162"/>
      <c r="B1644" s="529"/>
      <c r="C1644" s="530" t="s">
        <v>491</v>
      </c>
      <c r="D1644" s="531"/>
      <c r="E1644" s="219"/>
      <c r="F1644" s="217"/>
      <c r="G1644" s="254"/>
      <c r="H1644" s="219"/>
      <c r="I1644" s="219"/>
      <c r="J1644" s="219"/>
      <c r="K1644" s="218"/>
      <c r="L1644" s="167"/>
      <c r="M1644" s="202"/>
      <c r="N1644" s="525"/>
      <c r="O1644" s="203"/>
      <c r="P1644" s="244"/>
      <c r="Q1644" s="201"/>
      <c r="R1644" s="255"/>
      <c r="S1644" s="226"/>
      <c r="T1644" s="235"/>
      <c r="U1644" s="390"/>
    </row>
    <row r="1645" spans="1:21" ht="15.75" hidden="1" outlineLevel="3">
      <c r="A1645" s="162"/>
      <c r="B1645" s="529"/>
      <c r="C1645" s="530" t="s">
        <v>492</v>
      </c>
      <c r="D1645" s="531"/>
      <c r="E1645" s="219"/>
      <c r="F1645" s="217"/>
      <c r="G1645" s="254"/>
      <c r="H1645" s="219"/>
      <c r="I1645" s="219"/>
      <c r="J1645" s="219"/>
      <c r="K1645" s="218"/>
      <c r="L1645" s="167"/>
      <c r="M1645" s="202"/>
      <c r="N1645" s="525"/>
      <c r="O1645" s="203"/>
      <c r="P1645" s="244"/>
      <c r="Q1645" s="201"/>
      <c r="R1645" s="255"/>
      <c r="S1645" s="226"/>
      <c r="T1645" s="235"/>
      <c r="U1645" s="390"/>
    </row>
    <row r="1646" spans="1:21" ht="15.75" hidden="1" outlineLevel="3">
      <c r="A1646" s="162"/>
      <c r="B1646" s="529"/>
      <c r="C1646" s="530" t="s">
        <v>493</v>
      </c>
      <c r="D1646" s="531"/>
      <c r="E1646" s="219"/>
      <c r="F1646" s="217"/>
      <c r="G1646" s="254"/>
      <c r="H1646" s="219"/>
      <c r="I1646" s="219"/>
      <c r="J1646" s="219"/>
      <c r="K1646" s="218"/>
      <c r="L1646" s="167"/>
      <c r="M1646" s="202"/>
      <c r="N1646" s="525"/>
      <c r="O1646" s="202"/>
      <c r="P1646" s="244"/>
      <c r="Q1646" s="201"/>
      <c r="R1646" s="255"/>
      <c r="S1646" s="226"/>
      <c r="T1646" s="235"/>
      <c r="U1646" s="390"/>
    </row>
    <row r="1647" spans="1:21" ht="15.75" hidden="1" outlineLevel="3">
      <c r="A1647" s="162"/>
      <c r="B1647" s="529"/>
      <c r="C1647" s="530" t="s">
        <v>494</v>
      </c>
      <c r="D1647" s="531"/>
      <c r="E1647" s="219"/>
      <c r="F1647" s="217"/>
      <c r="G1647" s="254"/>
      <c r="H1647" s="219"/>
      <c r="I1647" s="219"/>
      <c r="J1647" s="219"/>
      <c r="K1647" s="218"/>
      <c r="L1647" s="167"/>
      <c r="M1647" s="202"/>
      <c r="N1647" s="525"/>
      <c r="O1647" s="203"/>
      <c r="P1647" s="244"/>
      <c r="Q1647" s="201"/>
      <c r="R1647" s="255"/>
      <c r="S1647" s="226"/>
      <c r="T1647" s="235"/>
      <c r="U1647" s="483"/>
    </row>
    <row r="1648" spans="1:21" ht="15.75" hidden="1" outlineLevel="3">
      <c r="A1648" s="162"/>
      <c r="B1648" s="529"/>
      <c r="C1648" s="313" t="s">
        <v>507</v>
      </c>
      <c r="D1648" s="362"/>
      <c r="E1648" s="219"/>
      <c r="F1648" s="217"/>
      <c r="G1648" s="254"/>
      <c r="H1648" s="219"/>
      <c r="I1648" s="219"/>
      <c r="J1648" s="219"/>
      <c r="K1648" s="218"/>
      <c r="L1648" s="167"/>
      <c r="M1648" s="202"/>
      <c r="N1648" s="525"/>
      <c r="O1648" s="203"/>
      <c r="P1648" s="244"/>
      <c r="Q1648" s="201"/>
      <c r="R1648" s="255"/>
      <c r="S1648" s="226"/>
      <c r="T1648" s="235"/>
      <c r="U1648" s="390"/>
    </row>
    <row r="1649" spans="1:21" ht="15.75" hidden="1" outlineLevel="3">
      <c r="A1649" s="162"/>
      <c r="B1649" s="529"/>
      <c r="C1649" s="532" t="s">
        <v>496</v>
      </c>
      <c r="D1649" s="533"/>
      <c r="E1649" s="219"/>
      <c r="F1649" s="217"/>
      <c r="G1649" s="254"/>
      <c r="H1649" s="219"/>
      <c r="I1649" s="219"/>
      <c r="J1649" s="219"/>
      <c r="K1649" s="218"/>
      <c r="L1649" s="167"/>
      <c r="M1649" s="202"/>
      <c r="N1649" s="525"/>
      <c r="O1649" s="203"/>
      <c r="P1649" s="244"/>
      <c r="Q1649" s="201"/>
      <c r="R1649" s="255"/>
      <c r="S1649" s="226"/>
      <c r="T1649" s="235"/>
      <c r="U1649" s="390"/>
    </row>
    <row r="1650" spans="1:21" ht="15.75" hidden="1" outlineLevel="3">
      <c r="A1650" s="162"/>
      <c r="B1650" s="529"/>
      <c r="C1650" s="532" t="s">
        <v>497</v>
      </c>
      <c r="D1650" s="533"/>
      <c r="E1650" s="219"/>
      <c r="F1650" s="217"/>
      <c r="G1650" s="254"/>
      <c r="H1650" s="219"/>
      <c r="I1650" s="219"/>
      <c r="J1650" s="219"/>
      <c r="K1650" s="218"/>
      <c r="L1650" s="167"/>
      <c r="M1650" s="202"/>
      <c r="N1650" s="525"/>
      <c r="O1650" s="203"/>
      <c r="P1650" s="244"/>
      <c r="Q1650" s="201"/>
      <c r="R1650" s="255"/>
      <c r="S1650" s="226"/>
      <c r="T1650" s="235"/>
      <c r="U1650" s="390"/>
    </row>
    <row r="1651" spans="1:21" ht="15.75" hidden="1" outlineLevel="3">
      <c r="A1651" s="162"/>
      <c r="B1651" s="529"/>
      <c r="C1651" s="532" t="s">
        <v>499</v>
      </c>
      <c r="D1651" s="533"/>
      <c r="E1651" s="219"/>
      <c r="F1651" s="217"/>
      <c r="G1651" s="254"/>
      <c r="H1651" s="219"/>
      <c r="I1651" s="219"/>
      <c r="J1651" s="219"/>
      <c r="K1651" s="218"/>
      <c r="L1651" s="167"/>
      <c r="M1651" s="202"/>
      <c r="N1651" s="525"/>
      <c r="O1651" s="203"/>
      <c r="P1651" s="244"/>
      <c r="Q1651" s="201"/>
      <c r="R1651" s="255"/>
      <c r="S1651" s="226"/>
      <c r="T1651" s="235"/>
      <c r="U1651" s="390"/>
    </row>
    <row r="1652" spans="1:21" ht="15.75" hidden="1" outlineLevel="3">
      <c r="A1652" s="162"/>
      <c r="B1652" s="529"/>
      <c r="C1652" s="532" t="s">
        <v>526</v>
      </c>
      <c r="D1652" s="533"/>
      <c r="E1652" s="219"/>
      <c r="F1652" s="217"/>
      <c r="G1652" s="254"/>
      <c r="H1652" s="219"/>
      <c r="I1652" s="219"/>
      <c r="J1652" s="219"/>
      <c r="K1652" s="218"/>
      <c r="L1652" s="167"/>
      <c r="M1652" s="202"/>
      <c r="N1652" s="525"/>
      <c r="O1652" s="203"/>
      <c r="P1652" s="244"/>
      <c r="Q1652" s="201"/>
      <c r="R1652" s="255"/>
      <c r="S1652" s="226"/>
      <c r="T1652" s="235"/>
      <c r="U1652" s="483"/>
    </row>
    <row r="1653" spans="1:21" ht="15.75" hidden="1" outlineLevel="3">
      <c r="A1653" s="162"/>
      <c r="B1653" s="529"/>
      <c r="C1653" s="532" t="s">
        <v>606</v>
      </c>
      <c r="D1653" s="533"/>
      <c r="E1653" s="219"/>
      <c r="F1653" s="217"/>
      <c r="G1653" s="254"/>
      <c r="H1653" s="219"/>
      <c r="I1653" s="203"/>
      <c r="J1653" s="219"/>
      <c r="K1653" s="440">
        <f>CIP!$AV$137</f>
        <v>0</v>
      </c>
      <c r="L1653" s="167">
        <f>SUM(G1653:K1653)</f>
        <v>0</v>
      </c>
      <c r="M1653" s="202">
        <v>7000000</v>
      </c>
      <c r="N1653" s="525">
        <f>M1653*1.23</f>
        <v>8610000</v>
      </c>
      <c r="O1653" s="203"/>
      <c r="P1653" s="244"/>
      <c r="Q1653" s="201"/>
      <c r="R1653" s="255"/>
      <c r="S1653" s="159">
        <f t="shared" ref="S1653:S1654" si="107">SUM(L1653,N1653,P1653,R1653)</f>
        <v>8610000</v>
      </c>
      <c r="T1653" s="235"/>
      <c r="U1653" s="483"/>
    </row>
    <row r="1654" spans="1:21" ht="15.75" hidden="1" outlineLevel="2" collapsed="1">
      <c r="A1654" s="162"/>
      <c r="B1654" s="529"/>
      <c r="C1654" s="313" t="s">
        <v>603</v>
      </c>
      <c r="D1654" s="362"/>
      <c r="E1654" s="219"/>
      <c r="F1654" s="217"/>
      <c r="G1654" s="383"/>
      <c r="H1654" s="251"/>
      <c r="I1654" s="251"/>
      <c r="J1654" s="251"/>
      <c r="K1654" s="523">
        <f>SUM(K1627:K1653)</f>
        <v>0</v>
      </c>
      <c r="L1654" s="226">
        <f>SUM(G1654:K1654)</f>
        <v>0</v>
      </c>
      <c r="M1654" s="202">
        <f>SUM(M1626:M1653)</f>
        <v>7109000</v>
      </c>
      <c r="N1654" s="251">
        <f>M1654*1.23</f>
        <v>8744070</v>
      </c>
      <c r="O1654" s="203"/>
      <c r="P1654" s="244"/>
      <c r="Q1654" s="201"/>
      <c r="R1654" s="255"/>
      <c r="S1654" s="159">
        <f t="shared" si="107"/>
        <v>8744070</v>
      </c>
      <c r="T1654" s="235"/>
      <c r="U1654" s="390" t="s">
        <v>607</v>
      </c>
    </row>
    <row r="1655" spans="1:21" s="233" customFormat="1" hidden="1" outlineLevel="3">
      <c r="A1655" s="232"/>
      <c r="B1655" s="313" t="s">
        <v>608</v>
      </c>
      <c r="C1655" s="528"/>
      <c r="D1655" s="563"/>
      <c r="E1655" s="203"/>
      <c r="F1655" s="201"/>
      <c r="G1655" s="205"/>
      <c r="H1655" s="203"/>
      <c r="I1655" s="203"/>
      <c r="J1655" s="203"/>
      <c r="K1655" s="222"/>
      <c r="L1655" s="167"/>
      <c r="M1655" s="202"/>
      <c r="N1655" s="525"/>
      <c r="O1655" s="157"/>
      <c r="P1655" s="248"/>
      <c r="Q1655" s="158"/>
      <c r="R1655" s="255"/>
      <c r="S1655" s="159"/>
      <c r="T1655" s="225"/>
      <c r="U1655" s="170"/>
    </row>
    <row r="1656" spans="1:21" ht="15.75" hidden="1" outlineLevel="3">
      <c r="A1656" s="162"/>
      <c r="B1656" s="529"/>
      <c r="C1656" s="532" t="s">
        <v>379</v>
      </c>
      <c r="D1656" s="533"/>
      <c r="E1656" s="219"/>
      <c r="F1656" s="217"/>
      <c r="G1656" s="254"/>
      <c r="H1656" s="219"/>
      <c r="I1656" s="219"/>
      <c r="J1656" s="219"/>
      <c r="K1656" s="218"/>
      <c r="L1656" s="167"/>
      <c r="M1656" s="528"/>
      <c r="N1656" s="525"/>
      <c r="O1656" s="203"/>
      <c r="P1656" s="248"/>
      <c r="Q1656" s="201"/>
      <c r="R1656" s="255"/>
      <c r="S1656" s="226"/>
      <c r="T1656" s="235"/>
      <c r="U1656" s="161" t="s">
        <v>609</v>
      </c>
    </row>
    <row r="1657" spans="1:21" ht="15.75" hidden="1" outlineLevel="2" collapsed="1">
      <c r="A1657" s="162"/>
      <c r="B1657" s="529"/>
      <c r="C1657" s="313" t="s">
        <v>608</v>
      </c>
      <c r="D1657" s="362"/>
      <c r="E1657" s="219"/>
      <c r="F1657" s="217"/>
      <c r="G1657" s="254"/>
      <c r="H1657" s="219"/>
      <c r="I1657" s="219"/>
      <c r="J1657" s="219"/>
      <c r="K1657" s="218"/>
      <c r="L1657" s="167"/>
      <c r="M1657" s="528"/>
      <c r="N1657" s="525"/>
      <c r="O1657" s="203"/>
      <c r="P1657" s="248"/>
      <c r="Q1657" s="201"/>
      <c r="R1657" s="255"/>
      <c r="S1657" s="226"/>
      <c r="T1657" s="235"/>
      <c r="U1657" s="170" t="s">
        <v>1168</v>
      </c>
    </row>
    <row r="1658" spans="1:21" s="233" customFormat="1" hidden="1" outlineLevel="3">
      <c r="A1658" s="232"/>
      <c r="B1658" s="313" t="s">
        <v>610</v>
      </c>
      <c r="C1658" s="528"/>
      <c r="D1658" s="563"/>
      <c r="E1658" s="203"/>
      <c r="F1658" s="201"/>
      <c r="G1658" s="205"/>
      <c r="H1658" s="203"/>
      <c r="I1658" s="203"/>
      <c r="J1658" s="203"/>
      <c r="K1658" s="222"/>
      <c r="L1658" s="167"/>
      <c r="M1658" s="202"/>
      <c r="N1658" s="525"/>
      <c r="O1658" s="157"/>
      <c r="P1658" s="244"/>
      <c r="Q1658" s="158"/>
      <c r="R1658" s="255"/>
      <c r="S1658" s="159"/>
      <c r="T1658" s="225"/>
      <c r="U1658" s="170"/>
    </row>
    <row r="1659" spans="1:21" ht="15.75" hidden="1" outlineLevel="3">
      <c r="A1659" s="162"/>
      <c r="B1659" s="529"/>
      <c r="C1659" s="313" t="s">
        <v>503</v>
      </c>
      <c r="D1659" s="362"/>
      <c r="E1659" s="219"/>
      <c r="F1659" s="217"/>
      <c r="G1659" s="254"/>
      <c r="H1659" s="219"/>
      <c r="I1659" s="219"/>
      <c r="J1659" s="219"/>
      <c r="K1659" s="218"/>
      <c r="L1659" s="167"/>
      <c r="M1659" s="202"/>
      <c r="N1659" s="525"/>
      <c r="O1659" s="203"/>
      <c r="P1659" s="244"/>
      <c r="Q1659" s="201"/>
      <c r="R1659" s="255"/>
      <c r="S1659" s="226"/>
      <c r="T1659" s="235"/>
      <c r="U1659" s="170"/>
    </row>
    <row r="1660" spans="1:21" ht="15.75" hidden="1" outlineLevel="3">
      <c r="A1660" s="162"/>
      <c r="B1660" s="529"/>
      <c r="C1660" s="530" t="s">
        <v>520</v>
      </c>
      <c r="D1660" s="531"/>
      <c r="E1660" s="219"/>
      <c r="F1660" s="217"/>
      <c r="G1660" s="254"/>
      <c r="H1660" s="219"/>
      <c r="I1660" s="219"/>
      <c r="J1660" s="219"/>
      <c r="K1660" s="218"/>
      <c r="L1660" s="167"/>
      <c r="M1660" s="202"/>
      <c r="N1660" s="525"/>
      <c r="O1660" s="203"/>
      <c r="P1660" s="244"/>
      <c r="Q1660" s="201"/>
      <c r="R1660" s="255"/>
      <c r="S1660" s="226"/>
      <c r="T1660" s="235"/>
      <c r="U1660" s="170"/>
    </row>
    <row r="1661" spans="1:21" ht="15.75" hidden="1" outlineLevel="3">
      <c r="A1661" s="162"/>
      <c r="B1661" s="529"/>
      <c r="C1661" s="530" t="s">
        <v>478</v>
      </c>
      <c r="D1661" s="531"/>
      <c r="E1661" s="219"/>
      <c r="F1661" s="217"/>
      <c r="G1661" s="254"/>
      <c r="H1661" s="219"/>
      <c r="I1661" s="219"/>
      <c r="J1661" s="219"/>
      <c r="K1661" s="218"/>
      <c r="L1661" s="167"/>
      <c r="M1661" s="202"/>
      <c r="N1661" s="525"/>
      <c r="O1661" s="203"/>
      <c r="P1661" s="244"/>
      <c r="Q1661" s="201"/>
      <c r="R1661" s="255"/>
      <c r="S1661" s="226"/>
      <c r="T1661" s="235"/>
      <c r="U1661" s="170"/>
    </row>
    <row r="1662" spans="1:21" ht="15.75" hidden="1" outlineLevel="3">
      <c r="A1662" s="162"/>
      <c r="B1662" s="529"/>
      <c r="C1662" s="530" t="s">
        <v>479</v>
      </c>
      <c r="D1662" s="531"/>
      <c r="E1662" s="219"/>
      <c r="F1662" s="217"/>
      <c r="G1662" s="254"/>
      <c r="H1662" s="219"/>
      <c r="I1662" s="219"/>
      <c r="J1662" s="219"/>
      <c r="K1662" s="218"/>
      <c r="L1662" s="220"/>
      <c r="M1662" s="204">
        <v>75000</v>
      </c>
      <c r="N1662" s="525">
        <f>M1662*1.23</f>
        <v>92250</v>
      </c>
      <c r="O1662" s="203"/>
      <c r="P1662" s="244"/>
      <c r="Q1662" s="201"/>
      <c r="R1662" s="255"/>
      <c r="S1662" s="159">
        <f t="shared" ref="S1662" si="108">SUM(L1662,N1662,P1662,R1662)</f>
        <v>92250</v>
      </c>
      <c r="T1662" s="235"/>
      <c r="U1662" s="170" t="s">
        <v>611</v>
      </c>
    </row>
    <row r="1663" spans="1:21" ht="15.75" hidden="1" outlineLevel="3">
      <c r="A1663" s="162"/>
      <c r="B1663" s="529"/>
      <c r="C1663" s="530" t="s">
        <v>480</v>
      </c>
      <c r="D1663" s="531"/>
      <c r="E1663" s="219"/>
      <c r="F1663" s="217"/>
      <c r="G1663" s="254"/>
      <c r="H1663" s="219"/>
      <c r="I1663" s="219"/>
      <c r="J1663" s="219"/>
      <c r="K1663" s="218"/>
      <c r="L1663" s="167"/>
      <c r="M1663" s="202"/>
      <c r="N1663" s="525"/>
      <c r="O1663" s="203"/>
      <c r="P1663" s="244"/>
      <c r="Q1663" s="201"/>
      <c r="R1663" s="255"/>
      <c r="S1663" s="226"/>
      <c r="T1663" s="235"/>
      <c r="U1663" s="170"/>
    </row>
    <row r="1664" spans="1:21" ht="15.75" hidden="1" outlineLevel="3">
      <c r="A1664" s="162"/>
      <c r="B1664" s="529"/>
      <c r="C1664" s="530" t="s">
        <v>512</v>
      </c>
      <c r="D1664" s="531"/>
      <c r="E1664" s="219"/>
      <c r="F1664" s="217"/>
      <c r="G1664" s="254"/>
      <c r="H1664" s="219"/>
      <c r="I1664" s="219"/>
      <c r="J1664" s="219"/>
      <c r="K1664" s="218"/>
      <c r="L1664" s="167"/>
      <c r="M1664" s="202"/>
      <c r="N1664" s="525"/>
      <c r="O1664" s="203"/>
      <c r="P1664" s="244"/>
      <c r="Q1664" s="201"/>
      <c r="R1664" s="255"/>
      <c r="S1664" s="226"/>
      <c r="T1664" s="235"/>
      <c r="U1664" s="170"/>
    </row>
    <row r="1665" spans="1:21" ht="15.75" hidden="1" outlineLevel="3">
      <c r="A1665" s="162"/>
      <c r="B1665" s="529"/>
      <c r="C1665" s="313" t="s">
        <v>504</v>
      </c>
      <c r="D1665" s="362"/>
      <c r="E1665" s="219"/>
      <c r="F1665" s="217"/>
      <c r="G1665" s="254"/>
      <c r="H1665" s="219"/>
      <c r="I1665" s="219"/>
      <c r="J1665" s="219"/>
      <c r="K1665" s="218"/>
      <c r="L1665" s="167"/>
      <c r="M1665" s="202"/>
      <c r="N1665" s="525"/>
      <c r="O1665" s="203"/>
      <c r="P1665" s="244"/>
      <c r="Q1665" s="201"/>
      <c r="R1665" s="255"/>
      <c r="S1665" s="226"/>
      <c r="T1665" s="235"/>
      <c r="U1665" s="170"/>
    </row>
    <row r="1666" spans="1:21" ht="15.75" hidden="1" outlineLevel="3">
      <c r="A1666" s="162"/>
      <c r="B1666" s="529"/>
      <c r="C1666" s="530" t="s">
        <v>483</v>
      </c>
      <c r="D1666" s="531"/>
      <c r="E1666" s="219"/>
      <c r="F1666" s="217"/>
      <c r="G1666" s="254"/>
      <c r="H1666" s="219"/>
      <c r="I1666" s="219"/>
      <c r="J1666" s="219"/>
      <c r="K1666" s="218"/>
      <c r="L1666" s="167"/>
      <c r="M1666" s="202"/>
      <c r="N1666" s="525"/>
      <c r="O1666" s="203"/>
      <c r="P1666" s="244"/>
      <c r="Q1666" s="201"/>
      <c r="R1666" s="255"/>
      <c r="S1666" s="226"/>
      <c r="T1666" s="235"/>
      <c r="U1666" s="170"/>
    </row>
    <row r="1667" spans="1:21" ht="15.75" hidden="1" outlineLevel="3">
      <c r="A1667" s="162"/>
      <c r="B1667" s="529"/>
      <c r="C1667" s="530" t="s">
        <v>484</v>
      </c>
      <c r="D1667" s="531"/>
      <c r="E1667" s="219"/>
      <c r="F1667" s="217"/>
      <c r="G1667" s="254"/>
      <c r="H1667" s="219"/>
      <c r="I1667" s="219"/>
      <c r="J1667" s="219"/>
      <c r="K1667" s="222"/>
      <c r="L1667" s="167"/>
      <c r="M1667" s="238">
        <v>108000</v>
      </c>
      <c r="N1667" s="525">
        <f>M1667*1.23</f>
        <v>132840</v>
      </c>
      <c r="O1667" s="239"/>
      <c r="P1667" s="244"/>
      <c r="Q1667" s="201"/>
      <c r="R1667" s="255"/>
      <c r="S1667" s="159">
        <f t="shared" ref="S1667" si="109">SUM(L1667,N1667,P1667,R1667)</f>
        <v>132840</v>
      </c>
      <c r="T1667" s="235"/>
      <c r="U1667" s="170"/>
    </row>
    <row r="1668" spans="1:21" ht="15.75" hidden="1" outlineLevel="3">
      <c r="A1668" s="162"/>
      <c r="B1668" s="529"/>
      <c r="C1668" s="530" t="s">
        <v>479</v>
      </c>
      <c r="D1668" s="531"/>
      <c r="E1668" s="219"/>
      <c r="F1668" s="217"/>
      <c r="G1668" s="254"/>
      <c r="H1668" s="219"/>
      <c r="I1668" s="219"/>
      <c r="J1668" s="219"/>
      <c r="K1668" s="218"/>
      <c r="L1668" s="167"/>
      <c r="M1668" s="202"/>
      <c r="N1668" s="525"/>
      <c r="O1668" s="203"/>
      <c r="P1668" s="244"/>
      <c r="Q1668" s="201"/>
      <c r="R1668" s="255"/>
      <c r="S1668" s="226"/>
      <c r="T1668" s="235"/>
      <c r="U1668" s="170"/>
    </row>
    <row r="1669" spans="1:21" ht="15.75" hidden="1" outlineLevel="3">
      <c r="A1669" s="162"/>
      <c r="B1669" s="529"/>
      <c r="C1669" s="530" t="s">
        <v>485</v>
      </c>
      <c r="D1669" s="531"/>
      <c r="E1669" s="219"/>
      <c r="F1669" s="217"/>
      <c r="G1669" s="254"/>
      <c r="H1669" s="219"/>
      <c r="I1669" s="219"/>
      <c r="J1669" s="219"/>
      <c r="K1669" s="218"/>
      <c r="L1669" s="167"/>
      <c r="M1669" s="202"/>
      <c r="N1669" s="525"/>
      <c r="O1669" s="203"/>
      <c r="P1669" s="244"/>
      <c r="Q1669" s="201"/>
      <c r="R1669" s="255"/>
      <c r="S1669" s="226"/>
      <c r="T1669" s="235"/>
      <c r="U1669" s="170"/>
    </row>
    <row r="1670" spans="1:21" ht="15.75" hidden="1" outlineLevel="3">
      <c r="A1670" s="162"/>
      <c r="B1670" s="529"/>
      <c r="C1670" s="313" t="s">
        <v>505</v>
      </c>
      <c r="D1670" s="362"/>
      <c r="E1670" s="219"/>
      <c r="F1670" s="217"/>
      <c r="G1670" s="254"/>
      <c r="H1670" s="219"/>
      <c r="I1670" s="219"/>
      <c r="J1670" s="219"/>
      <c r="K1670" s="218"/>
      <c r="L1670" s="167"/>
      <c r="M1670" s="202"/>
      <c r="N1670" s="525"/>
      <c r="O1670" s="203"/>
      <c r="P1670" s="244"/>
      <c r="Q1670" s="201"/>
      <c r="R1670" s="255"/>
      <c r="S1670" s="226"/>
      <c r="T1670" s="235"/>
      <c r="U1670" s="170"/>
    </row>
    <row r="1671" spans="1:21" ht="15.75" hidden="1" outlineLevel="3">
      <c r="A1671" s="162"/>
      <c r="B1671" s="529"/>
      <c r="C1671" s="530" t="s">
        <v>487</v>
      </c>
      <c r="D1671" s="531"/>
      <c r="E1671" s="219"/>
      <c r="F1671" s="217"/>
      <c r="G1671" s="254"/>
      <c r="H1671" s="219"/>
      <c r="I1671" s="219"/>
      <c r="J1671" s="219"/>
      <c r="K1671" s="218"/>
      <c r="L1671" s="167"/>
      <c r="M1671" s="202"/>
      <c r="N1671" s="525"/>
      <c r="O1671" s="203"/>
      <c r="P1671" s="244"/>
      <c r="Q1671" s="201"/>
      <c r="R1671" s="255"/>
      <c r="S1671" s="226"/>
      <c r="T1671" s="235"/>
      <c r="U1671" s="170"/>
    </row>
    <row r="1672" spans="1:21" ht="15.75" hidden="1" outlineLevel="3">
      <c r="A1672" s="162"/>
      <c r="B1672" s="529"/>
      <c r="C1672" s="530" t="s">
        <v>479</v>
      </c>
      <c r="D1672" s="531"/>
      <c r="E1672" s="219"/>
      <c r="F1672" s="217"/>
      <c r="G1672" s="254"/>
      <c r="H1672" s="219"/>
      <c r="I1672" s="219"/>
      <c r="J1672" s="219"/>
      <c r="K1672" s="218"/>
      <c r="L1672" s="167"/>
      <c r="M1672" s="202"/>
      <c r="N1672" s="525"/>
      <c r="O1672" s="203"/>
      <c r="P1672" s="244"/>
      <c r="Q1672" s="201"/>
      <c r="R1672" s="255"/>
      <c r="S1672" s="226"/>
      <c r="T1672" s="235"/>
      <c r="U1672" s="170"/>
    </row>
    <row r="1673" spans="1:21" ht="15.75" hidden="1" outlineLevel="3">
      <c r="A1673" s="162"/>
      <c r="B1673" s="529"/>
      <c r="C1673" s="530" t="s">
        <v>488</v>
      </c>
      <c r="D1673" s="531"/>
      <c r="E1673" s="219"/>
      <c r="F1673" s="217"/>
      <c r="G1673" s="254"/>
      <c r="H1673" s="219"/>
      <c r="I1673" s="219"/>
      <c r="J1673" s="219"/>
      <c r="K1673" s="218"/>
      <c r="L1673" s="167"/>
      <c r="M1673" s="202">
        <v>106500</v>
      </c>
      <c r="N1673" s="525">
        <f>M1673*1.23</f>
        <v>130995</v>
      </c>
      <c r="O1673" s="203"/>
      <c r="P1673" s="244"/>
      <c r="Q1673" s="201"/>
      <c r="R1673" s="255"/>
      <c r="S1673" s="159">
        <f t="shared" ref="S1673" si="110">SUM(L1673,N1673,P1673,R1673)</f>
        <v>130995</v>
      </c>
      <c r="T1673" s="235"/>
      <c r="U1673" s="170"/>
    </row>
    <row r="1674" spans="1:21" ht="15.75" hidden="1" outlineLevel="3">
      <c r="A1674" s="162"/>
      <c r="B1674" s="529"/>
      <c r="C1674" s="530" t="s">
        <v>489</v>
      </c>
      <c r="D1674" s="531"/>
      <c r="E1674" s="219"/>
      <c r="F1674" s="217"/>
      <c r="G1674" s="254"/>
      <c r="H1674" s="219"/>
      <c r="I1674" s="219"/>
      <c r="J1674" s="219"/>
      <c r="K1674" s="218"/>
      <c r="L1674" s="167"/>
      <c r="M1674" s="202"/>
      <c r="N1674" s="525"/>
      <c r="O1674" s="203"/>
      <c r="P1674" s="244"/>
      <c r="Q1674" s="201"/>
      <c r="R1674" s="255"/>
      <c r="S1674" s="226"/>
      <c r="T1674" s="235"/>
      <c r="U1674" s="170"/>
    </row>
    <row r="1675" spans="1:21" ht="15.75" hidden="1" outlineLevel="3">
      <c r="A1675" s="162"/>
      <c r="B1675" s="529"/>
      <c r="C1675" s="313" t="s">
        <v>506</v>
      </c>
      <c r="D1675" s="362"/>
      <c r="E1675" s="219"/>
      <c r="F1675" s="217"/>
      <c r="G1675" s="254"/>
      <c r="H1675" s="219"/>
      <c r="I1675" s="219"/>
      <c r="J1675" s="219"/>
      <c r="K1675" s="218"/>
      <c r="L1675" s="167"/>
      <c r="M1675" s="202"/>
      <c r="N1675" s="525"/>
      <c r="O1675" s="203"/>
      <c r="P1675" s="244"/>
      <c r="Q1675" s="201"/>
      <c r="R1675" s="255"/>
      <c r="S1675" s="226"/>
      <c r="T1675" s="235"/>
      <c r="U1675" s="170"/>
    </row>
    <row r="1676" spans="1:21" ht="15.75" hidden="1" outlineLevel="3">
      <c r="A1676" s="162"/>
      <c r="B1676" s="529"/>
      <c r="C1676" s="530" t="s">
        <v>491</v>
      </c>
      <c r="D1676" s="531"/>
      <c r="E1676" s="219"/>
      <c r="F1676" s="217"/>
      <c r="G1676" s="254"/>
      <c r="H1676" s="219"/>
      <c r="I1676" s="219"/>
      <c r="J1676" s="219"/>
      <c r="K1676" s="218"/>
      <c r="L1676" s="167"/>
      <c r="M1676" s="202"/>
      <c r="N1676" s="525"/>
      <c r="O1676" s="203"/>
      <c r="P1676" s="244"/>
      <c r="Q1676" s="201"/>
      <c r="R1676" s="255"/>
      <c r="S1676" s="226"/>
      <c r="T1676" s="235"/>
      <c r="U1676" s="170" t="s">
        <v>612</v>
      </c>
    </row>
    <row r="1677" spans="1:21" ht="15.75" hidden="1" outlineLevel="3">
      <c r="A1677" s="162"/>
      <c r="B1677" s="529"/>
      <c r="C1677" s="530" t="s">
        <v>492</v>
      </c>
      <c r="D1677" s="531"/>
      <c r="E1677" s="219"/>
      <c r="F1677" s="217"/>
      <c r="G1677" s="254"/>
      <c r="H1677" s="219"/>
      <c r="I1677" s="219"/>
      <c r="J1677" s="219"/>
      <c r="K1677" s="218"/>
      <c r="L1677" s="167"/>
      <c r="M1677" s="202"/>
      <c r="N1677" s="525"/>
      <c r="O1677" s="203"/>
      <c r="P1677" s="244"/>
      <c r="Q1677" s="201"/>
      <c r="R1677" s="255"/>
      <c r="S1677" s="226"/>
      <c r="T1677" s="235"/>
      <c r="U1677" s="170"/>
    </row>
    <row r="1678" spans="1:21" ht="15.75" hidden="1" outlineLevel="3">
      <c r="A1678" s="162"/>
      <c r="B1678" s="529"/>
      <c r="C1678" s="530" t="s">
        <v>493</v>
      </c>
      <c r="D1678" s="531"/>
      <c r="E1678" s="219"/>
      <c r="F1678" s="217"/>
      <c r="G1678" s="254"/>
      <c r="H1678" s="219"/>
      <c r="I1678" s="219"/>
      <c r="J1678" s="219"/>
      <c r="K1678" s="218"/>
      <c r="L1678" s="167"/>
      <c r="M1678" s="202"/>
      <c r="N1678" s="525"/>
      <c r="O1678" s="203"/>
      <c r="P1678" s="244"/>
      <c r="Q1678" s="201"/>
      <c r="R1678" s="255"/>
      <c r="S1678" s="226"/>
      <c r="T1678" s="235"/>
      <c r="U1678" s="170"/>
    </row>
    <row r="1679" spans="1:21" ht="15.75" hidden="1" outlineLevel="3">
      <c r="A1679" s="162"/>
      <c r="B1679" s="529"/>
      <c r="C1679" s="530" t="s">
        <v>494</v>
      </c>
      <c r="D1679" s="531"/>
      <c r="E1679" s="219"/>
      <c r="F1679" s="217"/>
      <c r="G1679" s="254"/>
      <c r="H1679" s="219"/>
      <c r="I1679" s="219"/>
      <c r="J1679" s="219"/>
      <c r="K1679" s="218"/>
      <c r="L1679" s="167"/>
      <c r="M1679" s="202"/>
      <c r="N1679" s="525"/>
      <c r="O1679" s="203"/>
      <c r="P1679" s="244"/>
      <c r="Q1679" s="201"/>
      <c r="R1679" s="255"/>
      <c r="S1679" s="226"/>
      <c r="T1679" s="235"/>
      <c r="U1679" s="161"/>
    </row>
    <row r="1680" spans="1:21" ht="15.75" hidden="1" outlineLevel="3">
      <c r="A1680" s="162"/>
      <c r="B1680" s="529"/>
      <c r="C1680" s="313" t="s">
        <v>507</v>
      </c>
      <c r="D1680" s="362"/>
      <c r="E1680" s="219"/>
      <c r="F1680" s="217"/>
      <c r="G1680" s="254"/>
      <c r="H1680" s="219"/>
      <c r="I1680" s="219"/>
      <c r="J1680" s="219"/>
      <c r="K1680" s="218"/>
      <c r="L1680" s="167"/>
      <c r="M1680" s="202"/>
      <c r="N1680" s="525"/>
      <c r="O1680" s="203"/>
      <c r="P1680" s="244"/>
      <c r="Q1680" s="201"/>
      <c r="R1680" s="255"/>
      <c r="S1680" s="226"/>
      <c r="T1680" s="235"/>
      <c r="U1680" s="170"/>
    </row>
    <row r="1681" spans="1:21" ht="15.75" hidden="1" outlineLevel="3">
      <c r="A1681" s="162"/>
      <c r="B1681" s="529"/>
      <c r="C1681" s="532" t="s">
        <v>496</v>
      </c>
      <c r="D1681" s="533"/>
      <c r="E1681" s="219"/>
      <c r="F1681" s="217"/>
      <c r="G1681" s="254"/>
      <c r="H1681" s="219"/>
      <c r="I1681" s="219"/>
      <c r="J1681" s="219"/>
      <c r="K1681" s="218"/>
      <c r="L1681" s="167"/>
      <c r="M1681" s="202"/>
      <c r="N1681" s="525"/>
      <c r="O1681" s="203"/>
      <c r="P1681" s="244"/>
      <c r="Q1681" s="201"/>
      <c r="R1681" s="255"/>
      <c r="S1681" s="226"/>
      <c r="T1681" s="235"/>
      <c r="U1681" s="170"/>
    </row>
    <row r="1682" spans="1:21" ht="15.75" hidden="1" outlineLevel="3">
      <c r="A1682" s="162"/>
      <c r="B1682" s="529"/>
      <c r="C1682" s="532" t="s">
        <v>497</v>
      </c>
      <c r="D1682" s="533"/>
      <c r="E1682" s="219"/>
      <c r="F1682" s="217"/>
      <c r="G1682" s="254"/>
      <c r="H1682" s="219"/>
      <c r="I1682" s="219"/>
      <c r="J1682" s="219"/>
      <c r="K1682" s="218"/>
      <c r="L1682" s="167"/>
      <c r="M1682" s="202"/>
      <c r="N1682" s="525"/>
      <c r="O1682" s="203"/>
      <c r="P1682" s="244"/>
      <c r="Q1682" s="201"/>
      <c r="R1682" s="255"/>
      <c r="S1682" s="226"/>
      <c r="T1682" s="235"/>
      <c r="U1682" s="170"/>
    </row>
    <row r="1683" spans="1:21" ht="15.75" hidden="1" outlineLevel="3">
      <c r="A1683" s="162"/>
      <c r="B1683" s="529"/>
      <c r="C1683" s="532" t="s">
        <v>499</v>
      </c>
      <c r="D1683" s="533"/>
      <c r="E1683" s="219"/>
      <c r="F1683" s="217"/>
      <c r="G1683" s="254"/>
      <c r="H1683" s="219"/>
      <c r="I1683" s="219"/>
      <c r="J1683" s="219"/>
      <c r="K1683" s="218"/>
      <c r="L1683" s="167"/>
      <c r="M1683" s="202"/>
      <c r="N1683" s="525"/>
      <c r="O1683" s="203"/>
      <c r="P1683" s="244"/>
      <c r="Q1683" s="201"/>
      <c r="R1683" s="255"/>
      <c r="S1683" s="226"/>
      <c r="T1683" s="235"/>
      <c r="U1683" s="170"/>
    </row>
    <row r="1684" spans="1:21" ht="15.75" hidden="1" outlineLevel="3">
      <c r="A1684" s="162"/>
      <c r="B1684" s="529"/>
      <c r="C1684" s="532" t="s">
        <v>526</v>
      </c>
      <c r="D1684" s="533"/>
      <c r="E1684" s="219"/>
      <c r="F1684" s="217"/>
      <c r="G1684" s="254"/>
      <c r="H1684" s="219"/>
      <c r="I1684" s="219"/>
      <c r="J1684" s="219"/>
      <c r="K1684" s="218"/>
      <c r="L1684" s="167"/>
      <c r="M1684" s="202">
        <v>202500</v>
      </c>
      <c r="N1684" s="525">
        <f t="shared" ref="N1684:N1685" si="111">M1684*1.23</f>
        <v>249075</v>
      </c>
      <c r="O1684" s="203"/>
      <c r="P1684" s="244"/>
      <c r="Q1684" s="201"/>
      <c r="R1684" s="255"/>
      <c r="S1684" s="159">
        <f t="shared" ref="S1684:S1685" si="112">SUM(L1684,N1684,P1684,R1684)</f>
        <v>249075</v>
      </c>
      <c r="T1684" s="235"/>
      <c r="U1684" s="161"/>
    </row>
    <row r="1685" spans="1:21" ht="15.75" hidden="1" outlineLevel="2" collapsed="1">
      <c r="A1685" s="162"/>
      <c r="B1685" s="529"/>
      <c r="C1685" s="313" t="s">
        <v>610</v>
      </c>
      <c r="D1685" s="362"/>
      <c r="E1685" s="219"/>
      <c r="F1685" s="217"/>
      <c r="G1685" s="254"/>
      <c r="H1685" s="251"/>
      <c r="I1685" s="251"/>
      <c r="J1685" s="251"/>
      <c r="K1685" s="523"/>
      <c r="L1685" s="226"/>
      <c r="M1685" s="202">
        <f>SUM(M1659:M1684)</f>
        <v>492000</v>
      </c>
      <c r="N1685" s="251">
        <f t="shared" si="111"/>
        <v>605160</v>
      </c>
      <c r="O1685" s="203"/>
      <c r="P1685" s="244"/>
      <c r="Q1685" s="201"/>
      <c r="R1685" s="255"/>
      <c r="S1685" s="159">
        <f t="shared" si="112"/>
        <v>605160</v>
      </c>
      <c r="T1685" s="235"/>
      <c r="U1685" s="170" t="s">
        <v>1319</v>
      </c>
    </row>
    <row r="1686" spans="1:21" s="233" customFormat="1" hidden="1" outlineLevel="4">
      <c r="A1686" s="232"/>
      <c r="B1686" s="313" t="s">
        <v>613</v>
      </c>
      <c r="C1686" s="528"/>
      <c r="D1686" s="563"/>
      <c r="E1686" s="203"/>
      <c r="F1686" s="201"/>
      <c r="G1686" s="205"/>
      <c r="H1686" s="203"/>
      <c r="I1686" s="203"/>
      <c r="J1686" s="203"/>
      <c r="K1686" s="222"/>
      <c r="L1686" s="167"/>
      <c r="M1686" s="202"/>
      <c r="N1686" s="525"/>
      <c r="O1686" s="157"/>
      <c r="P1686" s="248"/>
      <c r="Q1686" s="158"/>
      <c r="R1686" s="255"/>
      <c r="S1686" s="159"/>
      <c r="T1686" s="225"/>
      <c r="U1686" s="170"/>
    </row>
    <row r="1687" spans="1:21" ht="15.75" hidden="1" outlineLevel="4">
      <c r="A1687" s="162"/>
      <c r="B1687" s="529"/>
      <c r="C1687" s="313" t="s">
        <v>503</v>
      </c>
      <c r="D1687" s="362"/>
      <c r="E1687" s="219"/>
      <c r="F1687" s="217"/>
      <c r="G1687" s="254"/>
      <c r="H1687" s="219"/>
      <c r="I1687" s="219"/>
      <c r="J1687" s="219"/>
      <c r="K1687" s="218"/>
      <c r="L1687" s="167"/>
      <c r="M1687" s="202"/>
      <c r="N1687" s="525"/>
      <c r="O1687" s="203"/>
      <c r="P1687" s="248"/>
      <c r="Q1687" s="201"/>
      <c r="R1687" s="255"/>
      <c r="S1687" s="226"/>
      <c r="T1687" s="235"/>
      <c r="U1687" s="170"/>
    </row>
    <row r="1688" spans="1:21" ht="15.75" hidden="1" outlineLevel="4">
      <c r="A1688" s="162"/>
      <c r="B1688" s="529"/>
      <c r="C1688" s="530" t="s">
        <v>520</v>
      </c>
      <c r="D1688" s="531"/>
      <c r="E1688" s="219"/>
      <c r="F1688" s="217"/>
      <c r="G1688" s="254"/>
      <c r="H1688" s="219"/>
      <c r="I1688" s="219"/>
      <c r="J1688" s="219"/>
      <c r="K1688" s="218"/>
      <c r="L1688" s="167"/>
      <c r="M1688" s="202"/>
      <c r="N1688" s="525"/>
      <c r="O1688" s="203"/>
      <c r="P1688" s="248"/>
      <c r="Q1688" s="201"/>
      <c r="R1688" s="255"/>
      <c r="S1688" s="226"/>
      <c r="T1688" s="235"/>
      <c r="U1688" s="170"/>
    </row>
    <row r="1689" spans="1:21" ht="15.75" hidden="1" outlineLevel="4">
      <c r="A1689" s="162"/>
      <c r="B1689" s="529"/>
      <c r="C1689" s="530" t="s">
        <v>478</v>
      </c>
      <c r="D1689" s="531"/>
      <c r="E1689" s="219"/>
      <c r="F1689" s="217"/>
      <c r="G1689" s="254"/>
      <c r="H1689" s="219"/>
      <c r="I1689" s="219"/>
      <c r="J1689" s="219"/>
      <c r="K1689" s="218"/>
      <c r="L1689" s="167"/>
      <c r="M1689" s="202"/>
      <c r="N1689" s="525"/>
      <c r="O1689" s="203"/>
      <c r="P1689" s="248"/>
      <c r="Q1689" s="201"/>
      <c r="R1689" s="255"/>
      <c r="S1689" s="226"/>
      <c r="T1689" s="235"/>
      <c r="U1689" s="170"/>
    </row>
    <row r="1690" spans="1:21" ht="15.75" hidden="1" outlineLevel="4">
      <c r="A1690" s="162"/>
      <c r="B1690" s="529"/>
      <c r="C1690" s="530" t="s">
        <v>479</v>
      </c>
      <c r="D1690" s="531"/>
      <c r="E1690" s="219"/>
      <c r="F1690" s="217"/>
      <c r="G1690" s="254"/>
      <c r="H1690" s="219"/>
      <c r="I1690" s="219"/>
      <c r="J1690" s="219"/>
      <c r="K1690" s="218"/>
      <c r="L1690" s="220"/>
      <c r="M1690" s="204"/>
      <c r="N1690" s="525"/>
      <c r="O1690" s="203"/>
      <c r="P1690" s="248"/>
      <c r="Q1690" s="201"/>
      <c r="R1690" s="255"/>
      <c r="S1690" s="226"/>
      <c r="T1690" s="235"/>
      <c r="U1690" s="170"/>
    </row>
    <row r="1691" spans="1:21" ht="15.75" hidden="1" outlineLevel="4">
      <c r="A1691" s="162"/>
      <c r="B1691" s="529"/>
      <c r="C1691" s="530" t="s">
        <v>480</v>
      </c>
      <c r="D1691" s="531"/>
      <c r="E1691" s="219"/>
      <c r="F1691" s="217"/>
      <c r="G1691" s="254"/>
      <c r="H1691" s="219"/>
      <c r="I1691" s="219"/>
      <c r="J1691" s="219"/>
      <c r="K1691" s="218"/>
      <c r="L1691" s="167"/>
      <c r="M1691" s="202"/>
      <c r="N1691" s="525"/>
      <c r="O1691" s="203"/>
      <c r="P1691" s="248"/>
      <c r="Q1691" s="201"/>
      <c r="R1691" s="255"/>
      <c r="S1691" s="226"/>
      <c r="T1691" s="235"/>
      <c r="U1691" s="170"/>
    </row>
    <row r="1692" spans="1:21" ht="15.75" hidden="1" outlineLevel="4">
      <c r="A1692" s="162"/>
      <c r="B1692" s="529"/>
      <c r="C1692" s="530" t="s">
        <v>512</v>
      </c>
      <c r="D1692" s="531"/>
      <c r="E1692" s="219"/>
      <c r="F1692" s="217"/>
      <c r="G1692" s="254"/>
      <c r="H1692" s="219"/>
      <c r="I1692" s="219"/>
      <c r="J1692" s="219"/>
      <c r="K1692" s="218"/>
      <c r="L1692" s="167"/>
      <c r="M1692" s="202"/>
      <c r="N1692" s="525"/>
      <c r="O1692" s="203"/>
      <c r="P1692" s="248"/>
      <c r="Q1692" s="201"/>
      <c r="R1692" s="255"/>
      <c r="S1692" s="226"/>
      <c r="T1692" s="235"/>
      <c r="U1692" s="170"/>
    </row>
    <row r="1693" spans="1:21" ht="15.75" hidden="1" outlineLevel="4">
      <c r="A1693" s="162"/>
      <c r="B1693" s="529"/>
      <c r="C1693" s="313" t="s">
        <v>504</v>
      </c>
      <c r="D1693" s="362"/>
      <c r="E1693" s="219"/>
      <c r="F1693" s="217"/>
      <c r="G1693" s="254"/>
      <c r="H1693" s="219"/>
      <c r="I1693" s="219"/>
      <c r="J1693" s="219"/>
      <c r="K1693" s="218"/>
      <c r="L1693" s="167"/>
      <c r="M1693" s="202"/>
      <c r="N1693" s="525"/>
      <c r="O1693" s="203"/>
      <c r="P1693" s="248"/>
      <c r="Q1693" s="201"/>
      <c r="R1693" s="255"/>
      <c r="S1693" s="226"/>
      <c r="T1693" s="235"/>
      <c r="U1693" s="170"/>
    </row>
    <row r="1694" spans="1:21" ht="15.75" hidden="1" outlineLevel="4">
      <c r="A1694" s="162"/>
      <c r="B1694" s="529"/>
      <c r="C1694" s="530" t="s">
        <v>483</v>
      </c>
      <c r="D1694" s="531"/>
      <c r="E1694" s="219"/>
      <c r="F1694" s="217"/>
      <c r="G1694" s="254"/>
      <c r="H1694" s="219"/>
      <c r="I1694" s="219"/>
      <c r="J1694" s="219"/>
      <c r="K1694" s="218"/>
      <c r="L1694" s="167"/>
      <c r="M1694" s="202"/>
      <c r="N1694" s="525"/>
      <c r="O1694" s="203"/>
      <c r="P1694" s="248"/>
      <c r="Q1694" s="201"/>
      <c r="R1694" s="255"/>
      <c r="S1694" s="226"/>
      <c r="T1694" s="235"/>
      <c r="U1694" s="170"/>
    </row>
    <row r="1695" spans="1:21" ht="15.75" hidden="1" outlineLevel="4">
      <c r="A1695" s="162"/>
      <c r="B1695" s="529"/>
      <c r="C1695" s="530" t="s">
        <v>484</v>
      </c>
      <c r="D1695" s="531"/>
      <c r="E1695" s="219"/>
      <c r="F1695" s="217"/>
      <c r="G1695" s="254"/>
      <c r="H1695" s="219"/>
      <c r="I1695" s="219"/>
      <c r="J1695" s="219"/>
      <c r="K1695" s="218"/>
      <c r="L1695" s="167"/>
      <c r="M1695" s="202"/>
      <c r="N1695" s="525"/>
      <c r="O1695" s="239"/>
      <c r="P1695" s="248"/>
      <c r="Q1695" s="201"/>
      <c r="R1695" s="255"/>
      <c r="S1695" s="226"/>
      <c r="T1695" s="235"/>
      <c r="U1695" s="170"/>
    </row>
    <row r="1696" spans="1:21" ht="15.75" hidden="1" outlineLevel="4">
      <c r="A1696" s="162"/>
      <c r="B1696" s="529"/>
      <c r="C1696" s="530" t="s">
        <v>479</v>
      </c>
      <c r="D1696" s="531"/>
      <c r="E1696" s="219"/>
      <c r="F1696" s="217"/>
      <c r="G1696" s="254"/>
      <c r="H1696" s="219"/>
      <c r="I1696" s="219"/>
      <c r="J1696" s="219"/>
      <c r="K1696" s="218"/>
      <c r="L1696" s="167"/>
      <c r="M1696" s="202"/>
      <c r="N1696" s="525"/>
      <c r="O1696" s="203"/>
      <c r="P1696" s="248"/>
      <c r="Q1696" s="201"/>
      <c r="R1696" s="255"/>
      <c r="S1696" s="226"/>
      <c r="T1696" s="235"/>
      <c r="U1696" s="170"/>
    </row>
    <row r="1697" spans="1:21" ht="15.75" hidden="1" outlineLevel="4">
      <c r="A1697" s="162"/>
      <c r="B1697" s="529"/>
      <c r="C1697" s="530" t="s">
        <v>485</v>
      </c>
      <c r="D1697" s="531"/>
      <c r="E1697" s="219"/>
      <c r="F1697" s="217"/>
      <c r="G1697" s="254"/>
      <c r="H1697" s="219"/>
      <c r="I1697" s="219"/>
      <c r="J1697" s="219"/>
      <c r="K1697" s="218"/>
      <c r="L1697" s="167"/>
      <c r="M1697" s="203">
        <v>84000</v>
      </c>
      <c r="N1697" s="525">
        <f>M1697*1.23</f>
        <v>103320</v>
      </c>
      <c r="O1697" s="171"/>
      <c r="P1697" s="248"/>
      <c r="Q1697" s="201"/>
      <c r="R1697" s="255"/>
      <c r="S1697" s="159">
        <f t="shared" ref="S1697" si="113">SUM(L1697,N1697,P1697,R1697)</f>
        <v>103320</v>
      </c>
      <c r="T1697" s="235"/>
      <c r="U1697" s="170"/>
    </row>
    <row r="1698" spans="1:21" ht="15.75" hidden="1" outlineLevel="4">
      <c r="A1698" s="162"/>
      <c r="B1698" s="529"/>
      <c r="C1698" s="313" t="s">
        <v>505</v>
      </c>
      <c r="D1698" s="362"/>
      <c r="E1698" s="219"/>
      <c r="F1698" s="217"/>
      <c r="G1698" s="254"/>
      <c r="H1698" s="219"/>
      <c r="I1698" s="219"/>
      <c r="J1698" s="219"/>
      <c r="K1698" s="218"/>
      <c r="L1698" s="167"/>
      <c r="M1698" s="202"/>
      <c r="N1698" s="525"/>
      <c r="O1698" s="203"/>
      <c r="P1698" s="248"/>
      <c r="Q1698" s="201"/>
      <c r="R1698" s="255"/>
      <c r="S1698" s="226"/>
      <c r="T1698" s="235"/>
      <c r="U1698" s="170"/>
    </row>
    <row r="1699" spans="1:21" ht="15.75" hidden="1" outlineLevel="4">
      <c r="A1699" s="162"/>
      <c r="B1699" s="529"/>
      <c r="C1699" s="530" t="s">
        <v>487</v>
      </c>
      <c r="D1699" s="531"/>
      <c r="E1699" s="219"/>
      <c r="F1699" s="217"/>
      <c r="G1699" s="254"/>
      <c r="H1699" s="219"/>
      <c r="I1699" s="219"/>
      <c r="J1699" s="219"/>
      <c r="K1699" s="218"/>
      <c r="L1699" s="167"/>
      <c r="M1699" s="202"/>
      <c r="N1699" s="525"/>
      <c r="O1699" s="203"/>
      <c r="P1699" s="248"/>
      <c r="Q1699" s="201"/>
      <c r="R1699" s="255"/>
      <c r="S1699" s="226"/>
      <c r="T1699" s="235"/>
      <c r="U1699" s="170"/>
    </row>
    <row r="1700" spans="1:21" ht="15.75" hidden="1" outlineLevel="4">
      <c r="A1700" s="162"/>
      <c r="B1700" s="529"/>
      <c r="C1700" s="530" t="s">
        <v>479</v>
      </c>
      <c r="D1700" s="531"/>
      <c r="E1700" s="219"/>
      <c r="F1700" s="217"/>
      <c r="G1700" s="254"/>
      <c r="H1700" s="219"/>
      <c r="I1700" s="219"/>
      <c r="J1700" s="219"/>
      <c r="K1700" s="218"/>
      <c r="L1700" s="167"/>
      <c r="M1700" s="202"/>
      <c r="N1700" s="525"/>
      <c r="O1700" s="203"/>
      <c r="P1700" s="248"/>
      <c r="Q1700" s="201"/>
      <c r="R1700" s="255"/>
      <c r="S1700" s="226"/>
      <c r="T1700" s="235"/>
      <c r="U1700" s="170"/>
    </row>
    <row r="1701" spans="1:21" ht="15.75" hidden="1" outlineLevel="4">
      <c r="A1701" s="162"/>
      <c r="B1701" s="529"/>
      <c r="C1701" s="530" t="s">
        <v>488</v>
      </c>
      <c r="D1701" s="531"/>
      <c r="E1701" s="219"/>
      <c r="F1701" s="217"/>
      <c r="G1701" s="254"/>
      <c r="H1701" s="219"/>
      <c r="I1701" s="219"/>
      <c r="J1701" s="219"/>
      <c r="K1701" s="218"/>
      <c r="L1701" s="167"/>
      <c r="M1701" s="202"/>
      <c r="N1701" s="525"/>
      <c r="O1701" s="203"/>
      <c r="P1701" s="248"/>
      <c r="Q1701" s="201"/>
      <c r="R1701" s="255"/>
      <c r="S1701" s="226"/>
      <c r="T1701" s="235"/>
      <c r="U1701" s="170"/>
    </row>
    <row r="1702" spans="1:21" ht="15.75" hidden="1" outlineLevel="4">
      <c r="A1702" s="162"/>
      <c r="B1702" s="529"/>
      <c r="C1702" s="530" t="s">
        <v>489</v>
      </c>
      <c r="D1702" s="531"/>
      <c r="E1702" s="219"/>
      <c r="F1702" s="217"/>
      <c r="G1702" s="254"/>
      <c r="H1702" s="219"/>
      <c r="I1702" s="219"/>
      <c r="J1702" s="219"/>
      <c r="K1702" s="218"/>
      <c r="L1702" s="167"/>
      <c r="M1702" s="202"/>
      <c r="N1702" s="525"/>
      <c r="O1702" s="203"/>
      <c r="P1702" s="248"/>
      <c r="Q1702" s="201"/>
      <c r="R1702" s="255"/>
      <c r="S1702" s="159"/>
      <c r="T1702" s="235"/>
      <c r="U1702" s="170"/>
    </row>
    <row r="1703" spans="1:21" ht="15.75" hidden="1" outlineLevel="4">
      <c r="A1703" s="162"/>
      <c r="B1703" s="529"/>
      <c r="C1703" s="313" t="s">
        <v>506</v>
      </c>
      <c r="D1703" s="362"/>
      <c r="E1703" s="219"/>
      <c r="F1703" s="217"/>
      <c r="G1703" s="254"/>
      <c r="H1703" s="219"/>
      <c r="I1703" s="219"/>
      <c r="J1703" s="219"/>
      <c r="K1703" s="218"/>
      <c r="L1703" s="167"/>
      <c r="M1703" s="202"/>
      <c r="N1703" s="525"/>
      <c r="O1703" s="203"/>
      <c r="P1703" s="248"/>
      <c r="Q1703" s="201"/>
      <c r="R1703" s="255"/>
      <c r="S1703" s="226"/>
      <c r="T1703" s="235"/>
      <c r="U1703" s="170"/>
    </row>
    <row r="1704" spans="1:21" ht="15.75" hidden="1" outlineLevel="4">
      <c r="A1704" s="162"/>
      <c r="B1704" s="529"/>
      <c r="C1704" s="530" t="s">
        <v>491</v>
      </c>
      <c r="D1704" s="531"/>
      <c r="E1704" s="219"/>
      <c r="F1704" s="217"/>
      <c r="G1704" s="254"/>
      <c r="H1704" s="219"/>
      <c r="I1704" s="219"/>
      <c r="J1704" s="219"/>
      <c r="K1704" s="218"/>
      <c r="L1704" s="167"/>
      <c r="M1704" s="202"/>
      <c r="N1704" s="525"/>
      <c r="O1704" s="203"/>
      <c r="P1704" s="248"/>
      <c r="Q1704" s="201"/>
      <c r="R1704" s="255"/>
      <c r="S1704" s="226"/>
      <c r="T1704" s="235"/>
      <c r="U1704" s="170"/>
    </row>
    <row r="1705" spans="1:21" ht="15.75" hidden="1" outlineLevel="4">
      <c r="A1705" s="162"/>
      <c r="B1705" s="529"/>
      <c r="C1705" s="530" t="s">
        <v>492</v>
      </c>
      <c r="D1705" s="531"/>
      <c r="E1705" s="219"/>
      <c r="F1705" s="217"/>
      <c r="G1705" s="254"/>
      <c r="H1705" s="219"/>
      <c r="I1705" s="219"/>
      <c r="J1705" s="219"/>
      <c r="K1705" s="218"/>
      <c r="L1705" s="167"/>
      <c r="M1705" s="202"/>
      <c r="N1705" s="525"/>
      <c r="O1705" s="203"/>
      <c r="P1705" s="248"/>
      <c r="Q1705" s="201"/>
      <c r="R1705" s="255"/>
      <c r="S1705" s="226"/>
      <c r="T1705" s="235"/>
      <c r="U1705" s="170"/>
    </row>
    <row r="1706" spans="1:21" ht="15.75" hidden="1" outlineLevel="4">
      <c r="A1706" s="162"/>
      <c r="B1706" s="529"/>
      <c r="C1706" s="530" t="s">
        <v>493</v>
      </c>
      <c r="D1706" s="531"/>
      <c r="E1706" s="219"/>
      <c r="F1706" s="217"/>
      <c r="G1706" s="254"/>
      <c r="H1706" s="219"/>
      <c r="I1706" s="219"/>
      <c r="J1706" s="219"/>
      <c r="K1706" s="218"/>
      <c r="L1706" s="167"/>
      <c r="M1706" s="202"/>
      <c r="N1706" s="525"/>
      <c r="O1706" s="203"/>
      <c r="P1706" s="248"/>
      <c r="Q1706" s="201"/>
      <c r="R1706" s="255"/>
      <c r="S1706" s="226"/>
      <c r="T1706" s="235"/>
      <c r="U1706" s="170"/>
    </row>
    <row r="1707" spans="1:21" ht="15.75" hidden="1" outlineLevel="4">
      <c r="A1707" s="162"/>
      <c r="B1707" s="529"/>
      <c r="C1707" s="530" t="s">
        <v>494</v>
      </c>
      <c r="D1707" s="531"/>
      <c r="E1707" s="219"/>
      <c r="F1707" s="217"/>
      <c r="G1707" s="254"/>
      <c r="H1707" s="219"/>
      <c r="I1707" s="219"/>
      <c r="J1707" s="219"/>
      <c r="K1707" s="218"/>
      <c r="L1707" s="167"/>
      <c r="M1707" s="202"/>
      <c r="N1707" s="525"/>
      <c r="O1707" s="203"/>
      <c r="P1707" s="248"/>
      <c r="Q1707" s="201"/>
      <c r="R1707" s="255"/>
      <c r="S1707" s="226"/>
      <c r="T1707" s="235"/>
      <c r="U1707" s="161"/>
    </row>
    <row r="1708" spans="1:21" ht="15.75" hidden="1" outlineLevel="4">
      <c r="A1708" s="162"/>
      <c r="B1708" s="529"/>
      <c r="C1708" s="313" t="s">
        <v>507</v>
      </c>
      <c r="D1708" s="362"/>
      <c r="E1708" s="219"/>
      <c r="F1708" s="217"/>
      <c r="G1708" s="254"/>
      <c r="H1708" s="219"/>
      <c r="I1708" s="219"/>
      <c r="J1708" s="219"/>
      <c r="K1708" s="218"/>
      <c r="L1708" s="167"/>
      <c r="M1708" s="202"/>
      <c r="N1708" s="525"/>
      <c r="O1708" s="203"/>
      <c r="P1708" s="248"/>
      <c r="Q1708" s="201"/>
      <c r="R1708" s="255"/>
      <c r="S1708" s="226"/>
      <c r="T1708" s="235"/>
      <c r="U1708" s="170"/>
    </row>
    <row r="1709" spans="1:21" ht="15.75" hidden="1" outlineLevel="4">
      <c r="A1709" s="162"/>
      <c r="B1709" s="529"/>
      <c r="C1709" s="532" t="s">
        <v>496</v>
      </c>
      <c r="D1709" s="533"/>
      <c r="E1709" s="219"/>
      <c r="F1709" s="217"/>
      <c r="G1709" s="254"/>
      <c r="H1709" s="219"/>
      <c r="I1709" s="219"/>
      <c r="J1709" s="219"/>
      <c r="K1709" s="218"/>
      <c r="L1709" s="167"/>
      <c r="M1709" s="202"/>
      <c r="N1709" s="525"/>
      <c r="O1709" s="203"/>
      <c r="P1709" s="248"/>
      <c r="Q1709" s="201"/>
      <c r="R1709" s="255"/>
      <c r="S1709" s="226"/>
      <c r="T1709" s="235"/>
      <c r="U1709" s="170"/>
    </row>
    <row r="1710" spans="1:21" ht="15.75" hidden="1" outlineLevel="4">
      <c r="A1710" s="162"/>
      <c r="B1710" s="529"/>
      <c r="C1710" s="532" t="s">
        <v>497</v>
      </c>
      <c r="D1710" s="533"/>
      <c r="E1710" s="219"/>
      <c r="F1710" s="217"/>
      <c r="G1710" s="254"/>
      <c r="H1710" s="219"/>
      <c r="I1710" s="219"/>
      <c r="J1710" s="219"/>
      <c r="K1710" s="218"/>
      <c r="L1710" s="167"/>
      <c r="M1710" s="202">
        <v>80000</v>
      </c>
      <c r="N1710" s="525">
        <f>M1710*1.23</f>
        <v>98400</v>
      </c>
      <c r="O1710" s="203"/>
      <c r="P1710" s="248"/>
      <c r="Q1710" s="201"/>
      <c r="R1710" s="255"/>
      <c r="S1710" s="159">
        <f t="shared" ref="S1710" si="114">SUM(L1710,N1710,P1710,R1710)</f>
        <v>98400</v>
      </c>
      <c r="T1710" s="235"/>
      <c r="U1710" s="170" t="s">
        <v>614</v>
      </c>
    </row>
    <row r="1711" spans="1:21" ht="15.75" hidden="1" outlineLevel="4">
      <c r="A1711" s="162"/>
      <c r="B1711" s="529"/>
      <c r="C1711" s="532" t="s">
        <v>499</v>
      </c>
      <c r="D1711" s="533"/>
      <c r="E1711" s="219"/>
      <c r="F1711" s="217"/>
      <c r="G1711" s="254"/>
      <c r="H1711" s="219"/>
      <c r="I1711" s="219"/>
      <c r="J1711" s="219"/>
      <c r="K1711" s="218"/>
      <c r="L1711" s="167"/>
      <c r="M1711" s="202"/>
      <c r="N1711" s="525"/>
      <c r="O1711" s="203"/>
      <c r="P1711" s="248"/>
      <c r="Q1711" s="201"/>
      <c r="R1711" s="255"/>
      <c r="S1711" s="226"/>
      <c r="T1711" s="235"/>
      <c r="U1711" s="170"/>
    </row>
    <row r="1712" spans="1:21" ht="15.75" hidden="1" outlineLevel="4">
      <c r="A1712" s="162"/>
      <c r="B1712" s="529"/>
      <c r="C1712" s="532" t="s">
        <v>526</v>
      </c>
      <c r="D1712" s="533"/>
      <c r="E1712" s="219"/>
      <c r="F1712" s="217"/>
      <c r="G1712" s="205">
        <f>CIP!$AR$23</f>
        <v>0</v>
      </c>
      <c r="H1712" s="219"/>
      <c r="I1712" s="219"/>
      <c r="J1712" s="219"/>
      <c r="K1712" s="218"/>
      <c r="L1712" s="167">
        <f>SUM(G1712:K1712)</f>
        <v>0</v>
      </c>
      <c r="M1712" s="202"/>
      <c r="N1712" s="525"/>
      <c r="O1712" s="203"/>
      <c r="P1712" s="248"/>
      <c r="Q1712" s="201"/>
      <c r="R1712" s="255"/>
      <c r="S1712" s="159">
        <f t="shared" ref="S1712:S1713" si="115">SUM(L1712,N1712,P1712,R1712)</f>
        <v>0</v>
      </c>
      <c r="T1712" s="235"/>
      <c r="U1712" s="161"/>
    </row>
    <row r="1713" spans="1:21" ht="15.75" hidden="1" outlineLevel="2" collapsed="1">
      <c r="A1713" s="162"/>
      <c r="B1713" s="529"/>
      <c r="C1713" s="313" t="s">
        <v>613</v>
      </c>
      <c r="D1713" s="362"/>
      <c r="E1713" s="219"/>
      <c r="F1713" s="217"/>
      <c r="G1713" s="383">
        <f>SUM(G1687:G1712)</f>
        <v>0</v>
      </c>
      <c r="H1713" s="251"/>
      <c r="I1713" s="251"/>
      <c r="J1713" s="251"/>
      <c r="K1713" s="523"/>
      <c r="L1713" s="226">
        <f>SUM(L1687:L1712)</f>
        <v>0</v>
      </c>
      <c r="M1713" s="202">
        <f>SUM(M1687:M1712)</f>
        <v>164000</v>
      </c>
      <c r="N1713" s="251">
        <f>M1713*1.23</f>
        <v>201720</v>
      </c>
      <c r="O1713" s="203"/>
      <c r="P1713" s="244"/>
      <c r="Q1713" s="201"/>
      <c r="R1713" s="255"/>
      <c r="S1713" s="159">
        <f t="shared" si="115"/>
        <v>201720</v>
      </c>
      <c r="T1713" s="235"/>
      <c r="U1713" s="161"/>
    </row>
    <row r="1714" spans="1:21" s="233" customFormat="1" hidden="1" outlineLevel="3">
      <c r="A1714" s="232"/>
      <c r="B1714" s="313" t="s">
        <v>615</v>
      </c>
      <c r="C1714" s="528"/>
      <c r="D1714" s="563"/>
      <c r="E1714" s="203"/>
      <c r="F1714" s="201"/>
      <c r="G1714" s="205"/>
      <c r="H1714" s="203"/>
      <c r="I1714" s="203"/>
      <c r="J1714" s="203"/>
      <c r="K1714" s="222"/>
      <c r="L1714" s="167"/>
      <c r="M1714" s="202"/>
      <c r="N1714" s="525"/>
      <c r="O1714" s="157"/>
      <c r="P1714" s="248"/>
      <c r="Q1714" s="158"/>
      <c r="R1714" s="255"/>
      <c r="S1714" s="159"/>
      <c r="T1714" s="225"/>
      <c r="U1714" s="170"/>
    </row>
    <row r="1715" spans="1:21" ht="15.75" hidden="1" outlineLevel="3">
      <c r="A1715" s="162"/>
      <c r="B1715" s="529"/>
      <c r="C1715" s="313" t="s">
        <v>503</v>
      </c>
      <c r="D1715" s="362"/>
      <c r="E1715" s="219"/>
      <c r="F1715" s="217"/>
      <c r="G1715" s="254"/>
      <c r="H1715" s="219"/>
      <c r="I1715" s="219"/>
      <c r="J1715" s="219"/>
      <c r="K1715" s="218"/>
      <c r="L1715" s="167"/>
      <c r="M1715" s="202"/>
      <c r="N1715" s="525"/>
      <c r="O1715" s="203"/>
      <c r="P1715" s="248"/>
      <c r="Q1715" s="201"/>
      <c r="R1715" s="255"/>
      <c r="S1715" s="226"/>
      <c r="T1715" s="235"/>
      <c r="U1715" s="170"/>
    </row>
    <row r="1716" spans="1:21" ht="15.75" hidden="1" outlineLevel="3">
      <c r="A1716" s="162"/>
      <c r="B1716" s="529"/>
      <c r="C1716" s="530" t="s">
        <v>520</v>
      </c>
      <c r="D1716" s="531"/>
      <c r="E1716" s="219"/>
      <c r="F1716" s="217"/>
      <c r="G1716" s="254"/>
      <c r="H1716" s="219"/>
      <c r="I1716" s="203">
        <f>CIP!$AT$81</f>
        <v>0</v>
      </c>
      <c r="J1716" s="219"/>
      <c r="K1716" s="218"/>
      <c r="L1716" s="167">
        <f>SUM(G1716:K1716)</f>
        <v>0</v>
      </c>
      <c r="M1716" s="202"/>
      <c r="N1716" s="525"/>
      <c r="O1716" s="203"/>
      <c r="P1716" s="248"/>
      <c r="Q1716" s="201"/>
      <c r="R1716" s="255"/>
      <c r="S1716" s="159">
        <f t="shared" ref="S1716:S1718" si="116">SUM(L1716,N1716,P1716,R1716)</f>
        <v>0</v>
      </c>
      <c r="T1716" s="235"/>
      <c r="U1716" s="170"/>
    </row>
    <row r="1717" spans="1:21" ht="15.75" hidden="1" outlineLevel="3">
      <c r="A1717" s="162"/>
      <c r="B1717" s="529"/>
      <c r="C1717" s="530" t="s">
        <v>478</v>
      </c>
      <c r="D1717" s="531"/>
      <c r="E1717" s="219"/>
      <c r="F1717" s="217"/>
      <c r="G1717" s="254"/>
      <c r="H1717" s="219"/>
      <c r="I1717" s="219"/>
      <c r="J1717" s="219"/>
      <c r="K1717" s="218"/>
      <c r="L1717" s="167"/>
      <c r="M1717" s="202"/>
      <c r="N1717" s="525"/>
      <c r="O1717" s="203"/>
      <c r="P1717" s="248"/>
      <c r="Q1717" s="201"/>
      <c r="R1717" s="255"/>
      <c r="S1717" s="226"/>
      <c r="T1717" s="235"/>
      <c r="U1717" s="170"/>
    </row>
    <row r="1718" spans="1:21" ht="15.75" hidden="1" outlineLevel="3">
      <c r="A1718" s="162"/>
      <c r="B1718" s="529"/>
      <c r="C1718" s="530" t="s">
        <v>479</v>
      </c>
      <c r="D1718" s="531"/>
      <c r="E1718" s="219"/>
      <c r="F1718" s="217"/>
      <c r="G1718" s="254"/>
      <c r="H1718" s="219"/>
      <c r="I1718" s="241"/>
      <c r="J1718" s="219"/>
      <c r="K1718" s="218"/>
      <c r="L1718" s="220"/>
      <c r="M1718" s="241">
        <v>50000</v>
      </c>
      <c r="N1718" s="525">
        <f>M1718*1.23</f>
        <v>61500</v>
      </c>
      <c r="O1718" s="203"/>
      <c r="P1718" s="248"/>
      <c r="Q1718" s="201"/>
      <c r="R1718" s="255"/>
      <c r="S1718" s="159">
        <f t="shared" si="116"/>
        <v>61500</v>
      </c>
      <c r="T1718" s="235"/>
      <c r="U1718" s="170" t="s">
        <v>616</v>
      </c>
    </row>
    <row r="1719" spans="1:21" ht="15.75" hidden="1" outlineLevel="3">
      <c r="A1719" s="162"/>
      <c r="B1719" s="529"/>
      <c r="C1719" s="530" t="s">
        <v>480</v>
      </c>
      <c r="D1719" s="531"/>
      <c r="E1719" s="219"/>
      <c r="F1719" s="217"/>
      <c r="G1719" s="254"/>
      <c r="H1719" s="219"/>
      <c r="I1719" s="219"/>
      <c r="J1719" s="219"/>
      <c r="K1719" s="218"/>
      <c r="L1719" s="167"/>
      <c r="M1719" s="202"/>
      <c r="N1719" s="525"/>
      <c r="O1719" s="203"/>
      <c r="P1719" s="248"/>
      <c r="Q1719" s="201"/>
      <c r="R1719" s="255"/>
      <c r="S1719" s="226"/>
      <c r="T1719" s="235"/>
      <c r="U1719" s="170"/>
    </row>
    <row r="1720" spans="1:21" ht="15.75" hidden="1" outlineLevel="3">
      <c r="A1720" s="162"/>
      <c r="B1720" s="529"/>
      <c r="C1720" s="530" t="s">
        <v>512</v>
      </c>
      <c r="D1720" s="531"/>
      <c r="E1720" s="219"/>
      <c r="F1720" s="217"/>
      <c r="G1720" s="254"/>
      <c r="H1720" s="203"/>
      <c r="I1720" s="203"/>
      <c r="J1720" s="219"/>
      <c r="K1720" s="218"/>
      <c r="L1720" s="167"/>
      <c r="M1720" s="202"/>
      <c r="N1720" s="525"/>
      <c r="O1720" s="203"/>
      <c r="P1720" s="248"/>
      <c r="Q1720" s="201"/>
      <c r="R1720" s="255"/>
      <c r="S1720" s="226"/>
      <c r="T1720" s="235"/>
      <c r="U1720" s="170" t="s">
        <v>1144</v>
      </c>
    </row>
    <row r="1721" spans="1:21" ht="15.75" hidden="1" outlineLevel="3">
      <c r="A1721" s="162"/>
      <c r="B1721" s="529"/>
      <c r="C1721" s="313" t="s">
        <v>504</v>
      </c>
      <c r="D1721" s="362"/>
      <c r="E1721" s="219"/>
      <c r="F1721" s="217"/>
      <c r="G1721" s="254"/>
      <c r="H1721" s="219"/>
      <c r="I1721" s="219"/>
      <c r="J1721" s="219"/>
      <c r="K1721" s="218"/>
      <c r="L1721" s="167"/>
      <c r="M1721" s="202"/>
      <c r="N1721" s="525"/>
      <c r="O1721" s="203"/>
      <c r="P1721" s="248"/>
      <c r="Q1721" s="201"/>
      <c r="R1721" s="255"/>
      <c r="S1721" s="226"/>
      <c r="T1721" s="235"/>
      <c r="U1721" s="170"/>
    </row>
    <row r="1722" spans="1:21" ht="15.75" hidden="1" outlineLevel="3">
      <c r="A1722" s="162"/>
      <c r="B1722" s="529"/>
      <c r="C1722" s="530" t="s">
        <v>483</v>
      </c>
      <c r="D1722" s="531"/>
      <c r="E1722" s="219"/>
      <c r="F1722" s="217"/>
      <c r="G1722" s="254"/>
      <c r="H1722" s="219"/>
      <c r="I1722" s="219"/>
      <c r="J1722" s="219"/>
      <c r="K1722" s="218"/>
      <c r="L1722" s="167"/>
      <c r="M1722" s="202"/>
      <c r="N1722" s="525"/>
      <c r="O1722" s="203"/>
      <c r="P1722" s="248"/>
      <c r="Q1722" s="201"/>
      <c r="R1722" s="255"/>
      <c r="S1722" s="226"/>
      <c r="T1722" s="235"/>
      <c r="U1722" s="170"/>
    </row>
    <row r="1723" spans="1:21" ht="15.75" hidden="1" outlineLevel="3">
      <c r="A1723" s="162"/>
      <c r="B1723" s="529"/>
      <c r="C1723" s="530" t="s">
        <v>484</v>
      </c>
      <c r="D1723" s="531"/>
      <c r="E1723" s="219"/>
      <c r="F1723" s="217"/>
      <c r="G1723" s="254"/>
      <c r="H1723" s="219"/>
      <c r="I1723" s="219"/>
      <c r="J1723" s="219"/>
      <c r="K1723" s="218"/>
      <c r="L1723" s="167"/>
      <c r="M1723" s="202"/>
      <c r="N1723" s="525"/>
      <c r="O1723" s="239"/>
      <c r="P1723" s="248"/>
      <c r="Q1723" s="201"/>
      <c r="R1723" s="255"/>
      <c r="S1723" s="226"/>
      <c r="T1723" s="235"/>
      <c r="U1723" s="170"/>
    </row>
    <row r="1724" spans="1:21" ht="15.75" hidden="1" outlineLevel="3">
      <c r="A1724" s="162"/>
      <c r="B1724" s="529"/>
      <c r="C1724" s="530" t="s">
        <v>479</v>
      </c>
      <c r="D1724" s="531"/>
      <c r="E1724" s="219"/>
      <c r="F1724" s="217"/>
      <c r="G1724" s="254"/>
      <c r="H1724" s="219"/>
      <c r="I1724" s="219"/>
      <c r="J1724" s="219"/>
      <c r="K1724" s="218"/>
      <c r="L1724" s="167"/>
      <c r="M1724" s="202"/>
      <c r="N1724" s="525"/>
      <c r="O1724" s="203"/>
      <c r="P1724" s="248"/>
      <c r="Q1724" s="201"/>
      <c r="R1724" s="255"/>
      <c r="S1724" s="226"/>
      <c r="T1724" s="235"/>
      <c r="U1724" s="170"/>
    </row>
    <row r="1725" spans="1:21" ht="15.75" hidden="1" outlineLevel="3">
      <c r="A1725" s="162"/>
      <c r="B1725" s="529"/>
      <c r="C1725" s="530" t="s">
        <v>485</v>
      </c>
      <c r="D1725" s="531"/>
      <c r="E1725" s="219"/>
      <c r="F1725" s="217"/>
      <c r="G1725" s="254"/>
      <c r="H1725" s="219"/>
      <c r="I1725" s="219"/>
      <c r="J1725" s="219"/>
      <c r="K1725" s="218"/>
      <c r="L1725" s="167"/>
      <c r="M1725" s="202"/>
      <c r="N1725" s="525"/>
      <c r="O1725" s="203">
        <v>176000</v>
      </c>
      <c r="P1725" s="248">
        <f>O1725*1.46</f>
        <v>256960</v>
      </c>
      <c r="Q1725" s="201"/>
      <c r="R1725" s="255"/>
      <c r="S1725" s="159">
        <f t="shared" ref="S1725" si="117">SUM(L1725,N1725,P1725,R1725)</f>
        <v>256960</v>
      </c>
      <c r="T1725" s="235"/>
      <c r="U1725" s="170"/>
    </row>
    <row r="1726" spans="1:21" ht="15.75" hidden="1" outlineLevel="3">
      <c r="A1726" s="162"/>
      <c r="B1726" s="529"/>
      <c r="C1726" s="313" t="s">
        <v>505</v>
      </c>
      <c r="D1726" s="362"/>
      <c r="E1726" s="219"/>
      <c r="F1726" s="217"/>
      <c r="G1726" s="254"/>
      <c r="H1726" s="219"/>
      <c r="I1726" s="219"/>
      <c r="J1726" s="219"/>
      <c r="K1726" s="218"/>
      <c r="L1726" s="167"/>
      <c r="M1726" s="202"/>
      <c r="N1726" s="525"/>
      <c r="O1726" s="203"/>
      <c r="P1726" s="248"/>
      <c r="Q1726" s="201"/>
      <c r="R1726" s="255"/>
      <c r="S1726" s="226"/>
      <c r="T1726" s="235"/>
      <c r="U1726" s="170"/>
    </row>
    <row r="1727" spans="1:21" ht="15.75" hidden="1" outlineLevel="3">
      <c r="A1727" s="162"/>
      <c r="B1727" s="529"/>
      <c r="C1727" s="530" t="s">
        <v>487</v>
      </c>
      <c r="D1727" s="531"/>
      <c r="E1727" s="219"/>
      <c r="F1727" s="217"/>
      <c r="G1727" s="254"/>
      <c r="H1727" s="219"/>
      <c r="I1727" s="219"/>
      <c r="J1727" s="219"/>
      <c r="K1727" s="218"/>
      <c r="L1727" s="167"/>
      <c r="M1727" s="202"/>
      <c r="N1727" s="525"/>
      <c r="O1727" s="203"/>
      <c r="P1727" s="248"/>
      <c r="Q1727" s="201"/>
      <c r="R1727" s="255"/>
      <c r="S1727" s="226"/>
      <c r="T1727" s="235"/>
      <c r="U1727" s="170"/>
    </row>
    <row r="1728" spans="1:21" ht="15.75" hidden="1" outlineLevel="3">
      <c r="A1728" s="162"/>
      <c r="B1728" s="529"/>
      <c r="C1728" s="530" t="s">
        <v>479</v>
      </c>
      <c r="D1728" s="531"/>
      <c r="E1728" s="219"/>
      <c r="F1728" s="217"/>
      <c r="G1728" s="254"/>
      <c r="H1728" s="219"/>
      <c r="I1728" s="219"/>
      <c r="J1728" s="219"/>
      <c r="K1728" s="218"/>
      <c r="L1728" s="167"/>
      <c r="M1728" s="202"/>
      <c r="N1728" s="525"/>
      <c r="O1728" s="203"/>
      <c r="P1728" s="248"/>
      <c r="Q1728" s="201"/>
      <c r="R1728" s="255"/>
      <c r="S1728" s="226"/>
      <c r="T1728" s="235"/>
      <c r="U1728" s="170"/>
    </row>
    <row r="1729" spans="1:21" ht="15.75" hidden="1" outlineLevel="3">
      <c r="A1729" s="162"/>
      <c r="B1729" s="529"/>
      <c r="C1729" s="530" t="s">
        <v>488</v>
      </c>
      <c r="D1729" s="531"/>
      <c r="E1729" s="219"/>
      <c r="F1729" s="217"/>
      <c r="G1729" s="254"/>
      <c r="H1729" s="219"/>
      <c r="I1729" s="219"/>
      <c r="J1729" s="219"/>
      <c r="K1729" s="218"/>
      <c r="L1729" s="167"/>
      <c r="M1729" s="202"/>
      <c r="N1729" s="525"/>
      <c r="O1729" s="203"/>
      <c r="P1729" s="248"/>
      <c r="Q1729" s="201"/>
      <c r="R1729" s="255"/>
      <c r="S1729" s="226"/>
      <c r="T1729" s="235"/>
      <c r="U1729" s="170"/>
    </row>
    <row r="1730" spans="1:21" ht="15.75" hidden="1" outlineLevel="3">
      <c r="A1730" s="162"/>
      <c r="B1730" s="529"/>
      <c r="C1730" s="530" t="s">
        <v>489</v>
      </c>
      <c r="D1730" s="531"/>
      <c r="E1730" s="219"/>
      <c r="F1730" s="217"/>
      <c r="G1730" s="254"/>
      <c r="H1730" s="219"/>
      <c r="I1730" s="219"/>
      <c r="J1730" s="219"/>
      <c r="K1730" s="218"/>
      <c r="L1730" s="167"/>
      <c r="M1730" s="202"/>
      <c r="N1730" s="525"/>
      <c r="O1730" s="203"/>
      <c r="P1730" s="248"/>
      <c r="Q1730" s="201"/>
      <c r="R1730" s="255"/>
      <c r="S1730" s="159"/>
      <c r="T1730" s="235"/>
      <c r="U1730" s="170"/>
    </row>
    <row r="1731" spans="1:21" ht="15.75" hidden="1" outlineLevel="3">
      <c r="A1731" s="162"/>
      <c r="B1731" s="529"/>
      <c r="C1731" s="313" t="s">
        <v>506</v>
      </c>
      <c r="D1731" s="362"/>
      <c r="E1731" s="219"/>
      <c r="F1731" s="217"/>
      <c r="G1731" s="254"/>
      <c r="H1731" s="219"/>
      <c r="I1731" s="219"/>
      <c r="J1731" s="219"/>
      <c r="K1731" s="218"/>
      <c r="L1731" s="167"/>
      <c r="M1731" s="202"/>
      <c r="N1731" s="525"/>
      <c r="O1731" s="203"/>
      <c r="P1731" s="248"/>
      <c r="Q1731" s="201"/>
      <c r="R1731" s="255"/>
      <c r="S1731" s="226"/>
      <c r="T1731" s="235"/>
      <c r="U1731" s="170"/>
    </row>
    <row r="1732" spans="1:21" ht="15.75" hidden="1" outlineLevel="3">
      <c r="A1732" s="162"/>
      <c r="B1732" s="529"/>
      <c r="C1732" s="530" t="s">
        <v>491</v>
      </c>
      <c r="D1732" s="531"/>
      <c r="E1732" s="219"/>
      <c r="F1732" s="217"/>
      <c r="G1732" s="254"/>
      <c r="H1732" s="219"/>
      <c r="I1732" s="219"/>
      <c r="J1732" s="219"/>
      <c r="K1732" s="218"/>
      <c r="L1732" s="167"/>
      <c r="M1732" s="202"/>
      <c r="N1732" s="525"/>
      <c r="O1732" s="203"/>
      <c r="P1732" s="248"/>
      <c r="Q1732" s="201"/>
      <c r="R1732" s="255"/>
      <c r="S1732" s="226"/>
      <c r="T1732" s="235"/>
      <c r="U1732" s="170"/>
    </row>
    <row r="1733" spans="1:21" ht="15.75" hidden="1" outlineLevel="3">
      <c r="A1733" s="162"/>
      <c r="B1733" s="529"/>
      <c r="C1733" s="530" t="s">
        <v>492</v>
      </c>
      <c r="D1733" s="531"/>
      <c r="E1733" s="219"/>
      <c r="F1733" s="217"/>
      <c r="G1733" s="254"/>
      <c r="H1733" s="219"/>
      <c r="I1733" s="219"/>
      <c r="J1733" s="219"/>
      <c r="K1733" s="218"/>
      <c r="L1733" s="167"/>
      <c r="M1733" s="202">
        <v>130500</v>
      </c>
      <c r="N1733" s="525">
        <f t="shared" ref="N1733:N1734" si="118">M1733*1.23</f>
        <v>160515</v>
      </c>
      <c r="O1733" s="203"/>
      <c r="P1733" s="248"/>
      <c r="Q1733" s="201"/>
      <c r="R1733" s="255"/>
      <c r="S1733" s="159">
        <f t="shared" ref="S1733:S1734" si="119">SUM(L1733,N1733,P1733,R1733)</f>
        <v>160515</v>
      </c>
      <c r="T1733" s="235"/>
      <c r="U1733" s="170" t="s">
        <v>617</v>
      </c>
    </row>
    <row r="1734" spans="1:21" ht="15.75" hidden="1" outlineLevel="3">
      <c r="A1734" s="162"/>
      <c r="B1734" s="529"/>
      <c r="C1734" s="530" t="s">
        <v>493</v>
      </c>
      <c r="D1734" s="531"/>
      <c r="E1734" s="219"/>
      <c r="F1734" s="217"/>
      <c r="G1734" s="254"/>
      <c r="H1734" s="219"/>
      <c r="I1734" s="219"/>
      <c r="J1734" s="219"/>
      <c r="K1734" s="218"/>
      <c r="L1734" s="167"/>
      <c r="M1734" s="202">
        <v>225000</v>
      </c>
      <c r="N1734" s="525">
        <f t="shared" si="118"/>
        <v>276750</v>
      </c>
      <c r="O1734" s="203"/>
      <c r="P1734" s="248"/>
      <c r="Q1734" s="201"/>
      <c r="R1734" s="255"/>
      <c r="S1734" s="159">
        <f t="shared" si="119"/>
        <v>276750</v>
      </c>
      <c r="T1734" s="235"/>
      <c r="U1734" s="170"/>
    </row>
    <row r="1735" spans="1:21" ht="15.75" hidden="1" outlineLevel="3">
      <c r="A1735" s="162"/>
      <c r="B1735" s="529"/>
      <c r="C1735" s="530" t="s">
        <v>494</v>
      </c>
      <c r="D1735" s="531"/>
      <c r="E1735" s="219"/>
      <c r="F1735" s="217"/>
      <c r="G1735" s="254"/>
      <c r="H1735" s="219"/>
      <c r="I1735" s="219"/>
      <c r="J1735" s="219"/>
      <c r="K1735" s="218"/>
      <c r="L1735" s="167"/>
      <c r="M1735" s="202"/>
      <c r="N1735" s="525"/>
      <c r="O1735" s="203"/>
      <c r="P1735" s="248"/>
      <c r="Q1735" s="201"/>
      <c r="R1735" s="255"/>
      <c r="S1735" s="226"/>
      <c r="T1735" s="235"/>
      <c r="U1735" s="161"/>
    </row>
    <row r="1736" spans="1:21" ht="15.75" hidden="1" outlineLevel="3">
      <c r="A1736" s="162"/>
      <c r="B1736" s="529"/>
      <c r="C1736" s="313" t="s">
        <v>507</v>
      </c>
      <c r="D1736" s="362"/>
      <c r="E1736" s="219"/>
      <c r="F1736" s="217"/>
      <c r="G1736" s="254"/>
      <c r="H1736" s="219"/>
      <c r="I1736" s="219"/>
      <c r="J1736" s="219"/>
      <c r="K1736" s="218"/>
      <c r="L1736" s="167"/>
      <c r="M1736" s="202"/>
      <c r="N1736" s="525"/>
      <c r="O1736" s="203"/>
      <c r="P1736" s="248"/>
      <c r="Q1736" s="201"/>
      <c r="R1736" s="255"/>
      <c r="S1736" s="226"/>
      <c r="T1736" s="235"/>
      <c r="U1736" s="170"/>
    </row>
    <row r="1737" spans="1:21" ht="15.75" hidden="1" outlineLevel="3">
      <c r="A1737" s="162"/>
      <c r="B1737" s="529"/>
      <c r="C1737" s="532" t="s">
        <v>496</v>
      </c>
      <c r="D1737" s="533"/>
      <c r="E1737" s="219"/>
      <c r="F1737" s="217"/>
      <c r="G1737" s="254"/>
      <c r="H1737" s="219"/>
      <c r="I1737" s="219"/>
      <c r="J1737" s="219"/>
      <c r="K1737" s="218"/>
      <c r="L1737" s="167"/>
      <c r="M1737" s="202"/>
      <c r="N1737" s="525"/>
      <c r="O1737" s="203"/>
      <c r="P1737" s="248"/>
      <c r="Q1737" s="201"/>
      <c r="R1737" s="255"/>
      <c r="S1737" s="226"/>
      <c r="T1737" s="235"/>
      <c r="U1737" s="170"/>
    </row>
    <row r="1738" spans="1:21" ht="15.75" hidden="1" outlineLevel="3">
      <c r="A1738" s="162"/>
      <c r="B1738" s="529"/>
      <c r="C1738" s="532" t="s">
        <v>497</v>
      </c>
      <c r="D1738" s="533"/>
      <c r="E1738" s="219"/>
      <c r="F1738" s="217"/>
      <c r="G1738" s="254"/>
      <c r="H1738" s="219"/>
      <c r="I1738" s="219"/>
      <c r="J1738" s="219"/>
      <c r="K1738" s="218"/>
      <c r="L1738" s="167"/>
      <c r="M1738" s="202"/>
      <c r="N1738" s="525"/>
      <c r="O1738" s="203"/>
      <c r="P1738" s="248"/>
      <c r="Q1738" s="201"/>
      <c r="R1738" s="255"/>
      <c r="S1738" s="226"/>
      <c r="T1738" s="235"/>
      <c r="U1738" s="170"/>
    </row>
    <row r="1739" spans="1:21" ht="15.75" hidden="1" outlineLevel="3">
      <c r="A1739" s="162"/>
      <c r="B1739" s="529"/>
      <c r="C1739" s="532" t="s">
        <v>499</v>
      </c>
      <c r="D1739" s="533"/>
      <c r="E1739" s="219"/>
      <c r="F1739" s="217"/>
      <c r="G1739" s="254"/>
      <c r="H1739" s="219"/>
      <c r="I1739" s="219"/>
      <c r="J1739" s="219"/>
      <c r="K1739" s="218"/>
      <c r="L1739" s="167"/>
      <c r="M1739" s="202"/>
      <c r="N1739" s="525"/>
      <c r="O1739" s="203"/>
      <c r="P1739" s="248"/>
      <c r="Q1739" s="201"/>
      <c r="R1739" s="255"/>
      <c r="S1739" s="226"/>
      <c r="T1739" s="235"/>
      <c r="U1739" s="170"/>
    </row>
    <row r="1740" spans="1:21" ht="15.75" hidden="1" outlineLevel="3">
      <c r="A1740" s="162"/>
      <c r="B1740" s="529"/>
      <c r="C1740" s="532" t="s">
        <v>526</v>
      </c>
      <c r="D1740" s="533"/>
      <c r="E1740" s="219"/>
      <c r="F1740" s="217"/>
      <c r="G1740" s="254"/>
      <c r="H1740" s="219"/>
      <c r="I1740" s="219"/>
      <c r="J1740" s="219"/>
      <c r="K1740" s="218"/>
      <c r="L1740" s="167"/>
      <c r="M1740" s="202">
        <v>183500</v>
      </c>
      <c r="N1740" s="525">
        <f t="shared" ref="N1740:N1741" si="120">M1740*1.23</f>
        <v>225705</v>
      </c>
      <c r="O1740" s="203"/>
      <c r="P1740" s="248"/>
      <c r="Q1740" s="201"/>
      <c r="R1740" s="255"/>
      <c r="S1740" s="159">
        <f t="shared" ref="S1740:S1744" si="121">SUM(L1740,N1740,P1740,R1740)</f>
        <v>225705</v>
      </c>
      <c r="T1740" s="235"/>
      <c r="U1740" s="161"/>
    </row>
    <row r="1741" spans="1:21" ht="15.75" hidden="1" outlineLevel="2" collapsed="1">
      <c r="A1741" s="162"/>
      <c r="B1741" s="529"/>
      <c r="C1741" s="313" t="s">
        <v>615</v>
      </c>
      <c r="D1741" s="362"/>
      <c r="E1741" s="219"/>
      <c r="F1741" s="217"/>
      <c r="G1741" s="383"/>
      <c r="H1741" s="251"/>
      <c r="I1741" s="251">
        <f>SUM(I1715:I1740)</f>
        <v>0</v>
      </c>
      <c r="J1741" s="251"/>
      <c r="K1741" s="523"/>
      <c r="L1741" s="226">
        <f>SUM(L1715:L1740)</f>
        <v>0</v>
      </c>
      <c r="M1741" s="202">
        <f>SUM(M1715:M1740)</f>
        <v>589000</v>
      </c>
      <c r="N1741" s="251">
        <f t="shared" si="120"/>
        <v>724470</v>
      </c>
      <c r="O1741" s="203">
        <f>SUM(O1715:O1740)</f>
        <v>176000</v>
      </c>
      <c r="P1741" s="244">
        <f>O1741*1.46</f>
        <v>256960</v>
      </c>
      <c r="Q1741" s="201"/>
      <c r="R1741" s="255"/>
      <c r="S1741" s="159">
        <f t="shared" si="121"/>
        <v>981430</v>
      </c>
      <c r="T1741" s="235"/>
      <c r="U1741" s="161"/>
    </row>
    <row r="1742" spans="1:21" s="233" customFormat="1" hidden="1" outlineLevel="3">
      <c r="A1742" s="232"/>
      <c r="B1742" s="313" t="s">
        <v>618</v>
      </c>
      <c r="C1742" s="528"/>
      <c r="D1742" s="563"/>
      <c r="E1742" s="203"/>
      <c r="F1742" s="201"/>
      <c r="G1742" s="205"/>
      <c r="H1742" s="203"/>
      <c r="I1742" s="203"/>
      <c r="J1742" s="203"/>
      <c r="K1742" s="222"/>
      <c r="L1742" s="167"/>
      <c r="M1742" s="202"/>
      <c r="N1742" s="525"/>
      <c r="O1742" s="157"/>
      <c r="P1742" s="248"/>
      <c r="Q1742" s="158"/>
      <c r="R1742" s="255"/>
      <c r="S1742" s="159"/>
      <c r="T1742" s="225"/>
      <c r="U1742" s="170"/>
    </row>
    <row r="1743" spans="1:21" ht="15.75" hidden="1" outlineLevel="3">
      <c r="A1743" s="162"/>
      <c r="B1743" s="529"/>
      <c r="C1743" s="532" t="s">
        <v>379</v>
      </c>
      <c r="D1743" s="533"/>
      <c r="E1743" s="219"/>
      <c r="F1743" s="217"/>
      <c r="G1743" s="254"/>
      <c r="H1743" s="219"/>
      <c r="I1743" s="219"/>
      <c r="J1743" s="219"/>
      <c r="K1743" s="218"/>
      <c r="L1743" s="167"/>
      <c r="M1743" s="202"/>
      <c r="N1743" s="525"/>
      <c r="O1743" s="203">
        <v>1500000</v>
      </c>
      <c r="P1743" s="248">
        <f>O1743*1.46</f>
        <v>2190000</v>
      </c>
      <c r="Q1743" s="201"/>
      <c r="R1743" s="255"/>
      <c r="S1743" s="159">
        <f t="shared" si="121"/>
        <v>2190000</v>
      </c>
      <c r="T1743" s="235"/>
      <c r="U1743" s="161" t="s">
        <v>619</v>
      </c>
    </row>
    <row r="1744" spans="1:21" ht="15.75" hidden="1" outlineLevel="2" collapsed="1">
      <c r="A1744" s="162"/>
      <c r="B1744" s="529"/>
      <c r="C1744" s="313" t="s">
        <v>618</v>
      </c>
      <c r="D1744" s="362"/>
      <c r="E1744" s="219"/>
      <c r="F1744" s="217"/>
      <c r="G1744" s="254"/>
      <c r="H1744" s="219"/>
      <c r="I1744" s="219"/>
      <c r="J1744" s="219"/>
      <c r="K1744" s="218"/>
      <c r="L1744" s="167"/>
      <c r="M1744" s="202"/>
      <c r="N1744" s="251"/>
      <c r="O1744" s="203">
        <f>SUM(O1743)</f>
        <v>1500000</v>
      </c>
      <c r="P1744" s="248">
        <f>SUM(P1743)</f>
        <v>2190000</v>
      </c>
      <c r="Q1744" s="201"/>
      <c r="R1744" s="255"/>
      <c r="S1744" s="159">
        <f t="shared" si="121"/>
        <v>2190000</v>
      </c>
      <c r="T1744" s="235"/>
      <c r="U1744" s="390" t="s">
        <v>1169</v>
      </c>
    </row>
    <row r="1745" spans="1:21" s="233" customFormat="1" hidden="1" outlineLevel="3">
      <c r="A1745" s="232"/>
      <c r="B1745" s="313" t="s">
        <v>620</v>
      </c>
      <c r="C1745" s="528"/>
      <c r="D1745" s="563"/>
      <c r="E1745" s="203"/>
      <c r="F1745" s="201"/>
      <c r="G1745" s="205"/>
      <c r="H1745" s="203"/>
      <c r="I1745" s="203"/>
      <c r="J1745" s="203"/>
      <c r="K1745" s="222"/>
      <c r="L1745" s="167"/>
      <c r="M1745" s="202"/>
      <c r="N1745" s="525"/>
      <c r="O1745" s="157"/>
      <c r="P1745" s="248"/>
      <c r="Q1745" s="158"/>
      <c r="R1745" s="255"/>
      <c r="S1745" s="159"/>
      <c r="T1745" s="225"/>
      <c r="U1745" s="390"/>
    </row>
    <row r="1746" spans="1:21" ht="15.75" hidden="1" outlineLevel="3">
      <c r="A1746" s="162"/>
      <c r="B1746" s="529"/>
      <c r="C1746" s="313" t="s">
        <v>503</v>
      </c>
      <c r="D1746" s="362"/>
      <c r="E1746" s="219"/>
      <c r="F1746" s="217"/>
      <c r="G1746" s="254"/>
      <c r="H1746" s="219"/>
      <c r="I1746" s="219"/>
      <c r="J1746" s="219"/>
      <c r="K1746" s="218"/>
      <c r="L1746" s="167"/>
      <c r="M1746" s="238"/>
      <c r="N1746" s="525"/>
      <c r="O1746" s="203"/>
      <c r="P1746" s="248"/>
      <c r="Q1746" s="201"/>
      <c r="R1746" s="255"/>
      <c r="S1746" s="226"/>
      <c r="T1746" s="235"/>
      <c r="U1746" s="390"/>
    </row>
    <row r="1747" spans="1:21" ht="15.75" hidden="1" outlineLevel="3">
      <c r="A1747" s="162"/>
      <c r="B1747" s="529"/>
      <c r="C1747" s="530" t="s">
        <v>520</v>
      </c>
      <c r="D1747" s="531"/>
      <c r="E1747" s="219"/>
      <c r="F1747" s="217"/>
      <c r="G1747" s="254"/>
      <c r="H1747" s="219"/>
      <c r="I1747" s="219"/>
      <c r="J1747" s="219"/>
      <c r="K1747" s="218"/>
      <c r="L1747" s="167"/>
      <c r="M1747" s="202">
        <v>100000</v>
      </c>
      <c r="N1747" s="525">
        <f>M1747*1.23</f>
        <v>123000</v>
      </c>
      <c r="O1747" s="259"/>
      <c r="P1747" s="248"/>
      <c r="Q1747" s="201"/>
      <c r="R1747" s="255"/>
      <c r="S1747" s="159">
        <f t="shared" ref="S1747" si="122">SUM(L1747,N1747,P1747,R1747)</f>
        <v>123000</v>
      </c>
      <c r="T1747" s="235"/>
      <c r="U1747" s="390"/>
    </row>
    <row r="1748" spans="1:21" ht="15.75" hidden="1" outlineLevel="3">
      <c r="A1748" s="162"/>
      <c r="B1748" s="529"/>
      <c r="C1748" s="530" t="s">
        <v>478</v>
      </c>
      <c r="D1748" s="531"/>
      <c r="E1748" s="219"/>
      <c r="F1748" s="217"/>
      <c r="G1748" s="254"/>
      <c r="H1748" s="219"/>
      <c r="I1748" s="219"/>
      <c r="J1748" s="219"/>
      <c r="K1748" s="218"/>
      <c r="L1748" s="167"/>
      <c r="M1748" s="202"/>
      <c r="N1748" s="525"/>
      <c r="O1748" s="203"/>
      <c r="P1748" s="248"/>
      <c r="Q1748" s="201"/>
      <c r="R1748" s="255"/>
      <c r="S1748" s="226"/>
      <c r="T1748" s="235"/>
      <c r="U1748" s="390"/>
    </row>
    <row r="1749" spans="1:21" ht="15.75" hidden="1" outlineLevel="3">
      <c r="A1749" s="162"/>
      <c r="B1749" s="529"/>
      <c r="C1749" s="530" t="s">
        <v>479</v>
      </c>
      <c r="D1749" s="531"/>
      <c r="E1749" s="219"/>
      <c r="F1749" s="217"/>
      <c r="G1749" s="254"/>
      <c r="H1749" s="219"/>
      <c r="I1749" s="219"/>
      <c r="J1749" s="219"/>
      <c r="K1749" s="218"/>
      <c r="L1749" s="220"/>
      <c r="M1749" s="202"/>
      <c r="N1749" s="525"/>
      <c r="O1749" s="241"/>
      <c r="P1749" s="248"/>
      <c r="Q1749" s="201"/>
      <c r="R1749" s="255"/>
      <c r="S1749" s="226"/>
      <c r="T1749" s="235"/>
      <c r="U1749" s="390"/>
    </row>
    <row r="1750" spans="1:21" ht="15.75" hidden="1" outlineLevel="3">
      <c r="A1750" s="162"/>
      <c r="B1750" s="529"/>
      <c r="C1750" s="530" t="s">
        <v>480</v>
      </c>
      <c r="D1750" s="531"/>
      <c r="E1750" s="219"/>
      <c r="F1750" s="217"/>
      <c r="G1750" s="254"/>
      <c r="H1750" s="219"/>
      <c r="I1750" s="219"/>
      <c r="J1750" s="219"/>
      <c r="K1750" s="218"/>
      <c r="L1750" s="167" t="s">
        <v>514</v>
      </c>
      <c r="M1750" s="202"/>
      <c r="N1750" s="525"/>
      <c r="O1750" s="203"/>
      <c r="P1750" s="248"/>
      <c r="Q1750" s="201"/>
      <c r="R1750" s="255"/>
      <c r="S1750" s="226"/>
      <c r="T1750" s="235"/>
      <c r="U1750" s="390"/>
    </row>
    <row r="1751" spans="1:21" ht="15.75" hidden="1" outlineLevel="3">
      <c r="A1751" s="162"/>
      <c r="B1751" s="529"/>
      <c r="C1751" s="530" t="s">
        <v>512</v>
      </c>
      <c r="D1751" s="531"/>
      <c r="E1751" s="219"/>
      <c r="F1751" s="217"/>
      <c r="G1751" s="254"/>
      <c r="H1751" s="219"/>
      <c r="I1751" s="219"/>
      <c r="J1751" s="219"/>
      <c r="K1751" s="218"/>
      <c r="L1751" s="167"/>
      <c r="M1751" s="202"/>
      <c r="N1751" s="525"/>
      <c r="O1751" s="203"/>
      <c r="P1751" s="248"/>
      <c r="Q1751" s="201"/>
      <c r="R1751" s="255"/>
      <c r="S1751" s="226"/>
      <c r="T1751" s="235"/>
      <c r="U1751" s="390"/>
    </row>
    <row r="1752" spans="1:21" ht="15.75" hidden="1" outlineLevel="3">
      <c r="A1752" s="162"/>
      <c r="B1752" s="529"/>
      <c r="C1752" s="313" t="s">
        <v>504</v>
      </c>
      <c r="D1752" s="362"/>
      <c r="E1752" s="219"/>
      <c r="F1752" s="217"/>
      <c r="G1752" s="254"/>
      <c r="H1752" s="219"/>
      <c r="I1752" s="219"/>
      <c r="J1752" s="219"/>
      <c r="K1752" s="218"/>
      <c r="L1752" s="167"/>
      <c r="M1752" s="202"/>
      <c r="N1752" s="525"/>
      <c r="O1752" s="203"/>
      <c r="P1752" s="248"/>
      <c r="Q1752" s="201"/>
      <c r="R1752" s="255"/>
      <c r="S1752" s="226"/>
      <c r="T1752" s="235"/>
      <c r="U1752" s="390"/>
    </row>
    <row r="1753" spans="1:21" ht="15.75" hidden="1" outlineLevel="3">
      <c r="A1753" s="162"/>
      <c r="B1753" s="529"/>
      <c r="C1753" s="530" t="s">
        <v>483</v>
      </c>
      <c r="D1753" s="531"/>
      <c r="E1753" s="219"/>
      <c r="F1753" s="217"/>
      <c r="G1753" s="254"/>
      <c r="H1753" s="219"/>
      <c r="I1753" s="219"/>
      <c r="J1753" s="219"/>
      <c r="K1753" s="218"/>
      <c r="L1753" s="167"/>
      <c r="M1753" s="202"/>
      <c r="N1753" s="525"/>
      <c r="O1753" s="203"/>
      <c r="P1753" s="248"/>
      <c r="Q1753" s="201"/>
      <c r="R1753" s="255"/>
      <c r="S1753" s="226"/>
      <c r="T1753" s="235"/>
      <c r="U1753" s="390"/>
    </row>
    <row r="1754" spans="1:21" ht="15.75" hidden="1" outlineLevel="3">
      <c r="A1754" s="162"/>
      <c r="B1754" s="529"/>
      <c r="C1754" s="530" t="s">
        <v>484</v>
      </c>
      <c r="D1754" s="531"/>
      <c r="E1754" s="219"/>
      <c r="F1754" s="217"/>
      <c r="G1754" s="254"/>
      <c r="H1754" s="219"/>
      <c r="I1754" s="219"/>
      <c r="J1754" s="219"/>
      <c r="K1754" s="218"/>
      <c r="L1754" s="167"/>
      <c r="M1754" s="202"/>
      <c r="N1754" s="525"/>
      <c r="O1754" s="203"/>
      <c r="P1754" s="248"/>
      <c r="Q1754" s="201"/>
      <c r="R1754" s="255"/>
      <c r="S1754" s="226"/>
      <c r="T1754" s="235"/>
      <c r="U1754" s="390"/>
    </row>
    <row r="1755" spans="1:21" ht="15.75" hidden="1" outlineLevel="3">
      <c r="A1755" s="162"/>
      <c r="B1755" s="529"/>
      <c r="C1755" s="530" t="s">
        <v>479</v>
      </c>
      <c r="D1755" s="531"/>
      <c r="E1755" s="219"/>
      <c r="F1755" s="217"/>
      <c r="G1755" s="254"/>
      <c r="H1755" s="219"/>
      <c r="I1755" s="219"/>
      <c r="J1755" s="219"/>
      <c r="K1755" s="218"/>
      <c r="L1755" s="167"/>
      <c r="M1755" s="202"/>
      <c r="N1755" s="525"/>
      <c r="O1755" s="203"/>
      <c r="P1755" s="248"/>
      <c r="Q1755" s="201"/>
      <c r="R1755" s="255"/>
      <c r="S1755" s="226"/>
      <c r="T1755" s="235"/>
      <c r="U1755" s="390"/>
    </row>
    <row r="1756" spans="1:21" ht="15.75" hidden="1" outlineLevel="3">
      <c r="A1756" s="162"/>
      <c r="B1756" s="529"/>
      <c r="C1756" s="530" t="s">
        <v>485</v>
      </c>
      <c r="D1756" s="531"/>
      <c r="E1756" s="219"/>
      <c r="F1756" s="217"/>
      <c r="G1756" s="254"/>
      <c r="H1756" s="219"/>
      <c r="I1756" s="219"/>
      <c r="J1756" s="219"/>
      <c r="K1756" s="218"/>
      <c r="L1756" s="167"/>
      <c r="M1756" s="202"/>
      <c r="N1756" s="525"/>
      <c r="O1756" s="203"/>
      <c r="P1756" s="248"/>
      <c r="Q1756" s="201"/>
      <c r="R1756" s="255"/>
      <c r="S1756" s="226"/>
      <c r="T1756" s="235"/>
      <c r="U1756" s="390"/>
    </row>
    <row r="1757" spans="1:21" ht="15.75" hidden="1" outlineLevel="3">
      <c r="A1757" s="162"/>
      <c r="B1757" s="529"/>
      <c r="C1757" s="313" t="s">
        <v>505</v>
      </c>
      <c r="D1757" s="362"/>
      <c r="E1757" s="219"/>
      <c r="F1757" s="217"/>
      <c r="G1757" s="254"/>
      <c r="H1757" s="219"/>
      <c r="I1757" s="219"/>
      <c r="J1757" s="219"/>
      <c r="K1757" s="218"/>
      <c r="L1757" s="167"/>
      <c r="M1757" s="202"/>
      <c r="N1757" s="525"/>
      <c r="O1757" s="203"/>
      <c r="P1757" s="248"/>
      <c r="Q1757" s="201"/>
      <c r="R1757" s="255"/>
      <c r="S1757" s="226"/>
      <c r="T1757" s="235"/>
      <c r="U1757" s="390"/>
    </row>
    <row r="1758" spans="1:21" ht="15.75" hidden="1" outlineLevel="3">
      <c r="A1758" s="162"/>
      <c r="B1758" s="529"/>
      <c r="C1758" s="530" t="s">
        <v>487</v>
      </c>
      <c r="D1758" s="531"/>
      <c r="E1758" s="219"/>
      <c r="F1758" s="217"/>
      <c r="G1758" s="254"/>
      <c r="H1758" s="219"/>
      <c r="I1758" s="219"/>
      <c r="J1758" s="219"/>
      <c r="K1758" s="218"/>
      <c r="L1758" s="167"/>
      <c r="M1758" s="202"/>
      <c r="N1758" s="525"/>
      <c r="O1758" s="203"/>
      <c r="P1758" s="248"/>
      <c r="Q1758" s="201"/>
      <c r="R1758" s="255"/>
      <c r="S1758" s="226"/>
      <c r="T1758" s="235"/>
      <c r="U1758" s="390"/>
    </row>
    <row r="1759" spans="1:21" ht="15.75" hidden="1" outlineLevel="3">
      <c r="A1759" s="162"/>
      <c r="B1759" s="529"/>
      <c r="C1759" s="530" t="s">
        <v>479</v>
      </c>
      <c r="D1759" s="531"/>
      <c r="E1759" s="219"/>
      <c r="F1759" s="217"/>
      <c r="G1759" s="254"/>
      <c r="H1759" s="219"/>
      <c r="I1759" s="219"/>
      <c r="J1759" s="219"/>
      <c r="K1759" s="218"/>
      <c r="L1759" s="167"/>
      <c r="M1759" s="202"/>
      <c r="N1759" s="525"/>
      <c r="O1759" s="203"/>
      <c r="P1759" s="248"/>
      <c r="Q1759" s="201"/>
      <c r="R1759" s="255"/>
      <c r="S1759" s="226"/>
      <c r="T1759" s="235"/>
      <c r="U1759" s="390"/>
    </row>
    <row r="1760" spans="1:21" ht="15.75" hidden="1" outlineLevel="3">
      <c r="A1760" s="162"/>
      <c r="B1760" s="529"/>
      <c r="C1760" s="530" t="s">
        <v>488</v>
      </c>
      <c r="D1760" s="531"/>
      <c r="E1760" s="219"/>
      <c r="F1760" s="217"/>
      <c r="G1760" s="254"/>
      <c r="H1760" s="219"/>
      <c r="I1760" s="219"/>
      <c r="J1760" s="219"/>
      <c r="K1760" s="218"/>
      <c r="L1760" s="167"/>
      <c r="M1760" s="202"/>
      <c r="N1760" s="525"/>
      <c r="O1760" s="203"/>
      <c r="P1760" s="248"/>
      <c r="Q1760" s="201"/>
      <c r="R1760" s="255"/>
      <c r="S1760" s="226"/>
      <c r="T1760" s="235"/>
      <c r="U1760" s="390"/>
    </row>
    <row r="1761" spans="1:21" ht="15.75" hidden="1" outlineLevel="3">
      <c r="A1761" s="162"/>
      <c r="B1761" s="529"/>
      <c r="C1761" s="530" t="s">
        <v>489</v>
      </c>
      <c r="D1761" s="531"/>
      <c r="E1761" s="219"/>
      <c r="F1761" s="217"/>
      <c r="G1761" s="254"/>
      <c r="H1761" s="219"/>
      <c r="I1761" s="219"/>
      <c r="J1761" s="219"/>
      <c r="K1761" s="218"/>
      <c r="L1761" s="167"/>
      <c r="M1761" s="202"/>
      <c r="N1761" s="525"/>
      <c r="O1761" s="203"/>
      <c r="P1761" s="248"/>
      <c r="Q1761" s="201"/>
      <c r="R1761" s="255"/>
      <c r="S1761" s="159"/>
      <c r="T1761" s="235"/>
      <c r="U1761" s="390"/>
    </row>
    <row r="1762" spans="1:21" ht="15.75" hidden="1" outlineLevel="3">
      <c r="A1762" s="162"/>
      <c r="B1762" s="529"/>
      <c r="C1762" s="313" t="s">
        <v>506</v>
      </c>
      <c r="D1762" s="362"/>
      <c r="E1762" s="219"/>
      <c r="F1762" s="217"/>
      <c r="G1762" s="254"/>
      <c r="H1762" s="219"/>
      <c r="I1762" s="219"/>
      <c r="J1762" s="219"/>
      <c r="K1762" s="218"/>
      <c r="L1762" s="167"/>
      <c r="M1762" s="202"/>
      <c r="N1762" s="525"/>
      <c r="O1762" s="203"/>
      <c r="P1762" s="248"/>
      <c r="Q1762" s="201"/>
      <c r="R1762" s="255"/>
      <c r="S1762" s="159"/>
      <c r="T1762" s="235"/>
      <c r="U1762" s="390"/>
    </row>
    <row r="1763" spans="1:21" ht="15.75" hidden="1" outlineLevel="3">
      <c r="A1763" s="162"/>
      <c r="B1763" s="529"/>
      <c r="C1763" s="530" t="s">
        <v>491</v>
      </c>
      <c r="D1763" s="531"/>
      <c r="E1763" s="219"/>
      <c r="F1763" s="217"/>
      <c r="G1763" s="254"/>
      <c r="H1763" s="219"/>
      <c r="I1763" s="219"/>
      <c r="J1763" s="219"/>
      <c r="K1763" s="218"/>
      <c r="L1763" s="167"/>
      <c r="M1763" s="202"/>
      <c r="N1763" s="525"/>
      <c r="O1763" s="203">
        <v>313500</v>
      </c>
      <c r="P1763" s="248">
        <f>O1763*1.46</f>
        <v>457710</v>
      </c>
      <c r="Q1763" s="201"/>
      <c r="R1763" s="255"/>
      <c r="S1763" s="159">
        <f t="shared" ref="S1763:S1772" si="123">SUM(L1763,N1763,P1763,R1763)</f>
        <v>457710</v>
      </c>
      <c r="T1763" s="235"/>
      <c r="U1763" s="390"/>
    </row>
    <row r="1764" spans="1:21" ht="15.75" hidden="1" outlineLevel="3">
      <c r="A1764" s="162"/>
      <c r="B1764" s="529"/>
      <c r="C1764" s="530" t="s">
        <v>492</v>
      </c>
      <c r="D1764" s="531"/>
      <c r="E1764" s="219"/>
      <c r="F1764" s="217"/>
      <c r="G1764" s="254"/>
      <c r="H1764" s="219"/>
      <c r="I1764" s="219"/>
      <c r="J1764" s="219"/>
      <c r="K1764" s="218"/>
      <c r="L1764" s="167"/>
      <c r="M1764" s="202"/>
      <c r="N1764" s="525"/>
      <c r="O1764" s="203"/>
      <c r="P1764" s="248"/>
      <c r="Q1764" s="201"/>
      <c r="R1764" s="255"/>
      <c r="S1764" s="159"/>
      <c r="T1764" s="235"/>
      <c r="U1764" s="390"/>
    </row>
    <row r="1765" spans="1:21" ht="15.75" hidden="1" outlineLevel="3">
      <c r="A1765" s="162"/>
      <c r="B1765" s="529"/>
      <c r="C1765" s="530" t="s">
        <v>493</v>
      </c>
      <c r="D1765" s="531"/>
      <c r="E1765" s="219"/>
      <c r="F1765" s="217"/>
      <c r="G1765" s="254"/>
      <c r="H1765" s="219"/>
      <c r="I1765" s="219"/>
      <c r="J1765" s="219"/>
      <c r="K1765" s="218"/>
      <c r="L1765" s="167"/>
      <c r="M1765" s="202"/>
      <c r="N1765" s="525"/>
      <c r="O1765" s="203"/>
      <c r="P1765" s="248"/>
      <c r="Q1765" s="201"/>
      <c r="R1765" s="255"/>
      <c r="S1765" s="159"/>
      <c r="T1765" s="235"/>
      <c r="U1765" s="390"/>
    </row>
    <row r="1766" spans="1:21" ht="15.75" hidden="1" outlineLevel="3">
      <c r="A1766" s="162"/>
      <c r="B1766" s="529"/>
      <c r="C1766" s="530" t="s">
        <v>494</v>
      </c>
      <c r="D1766" s="531"/>
      <c r="E1766" s="219"/>
      <c r="F1766" s="217"/>
      <c r="G1766" s="254"/>
      <c r="H1766" s="219"/>
      <c r="I1766" s="219"/>
      <c r="J1766" s="219"/>
      <c r="K1766" s="218"/>
      <c r="L1766" s="167"/>
      <c r="M1766" s="202"/>
      <c r="N1766" s="525"/>
      <c r="O1766" s="203"/>
      <c r="P1766" s="248"/>
      <c r="Q1766" s="201"/>
      <c r="R1766" s="255"/>
      <c r="S1766" s="159"/>
      <c r="T1766" s="235"/>
      <c r="U1766" s="483"/>
    </row>
    <row r="1767" spans="1:21" ht="15.75" hidden="1" outlineLevel="3">
      <c r="A1767" s="162"/>
      <c r="B1767" s="529"/>
      <c r="C1767" s="313" t="s">
        <v>507</v>
      </c>
      <c r="D1767" s="362"/>
      <c r="E1767" s="219"/>
      <c r="F1767" s="217"/>
      <c r="G1767" s="254"/>
      <c r="H1767" s="219"/>
      <c r="I1767" s="219"/>
      <c r="J1767" s="219"/>
      <c r="K1767" s="218"/>
      <c r="L1767" s="167"/>
      <c r="M1767" s="202"/>
      <c r="N1767" s="525"/>
      <c r="O1767" s="203"/>
      <c r="P1767" s="248"/>
      <c r="Q1767" s="201"/>
      <c r="R1767" s="255"/>
      <c r="S1767" s="159"/>
      <c r="T1767" s="235"/>
      <c r="U1767" s="390"/>
    </row>
    <row r="1768" spans="1:21" ht="15.75" hidden="1" outlineLevel="3">
      <c r="A1768" s="162"/>
      <c r="B1768" s="529"/>
      <c r="C1768" s="532" t="s">
        <v>496</v>
      </c>
      <c r="D1768" s="533"/>
      <c r="E1768" s="219"/>
      <c r="F1768" s="217"/>
      <c r="G1768" s="254"/>
      <c r="H1768" s="219"/>
      <c r="I1768" s="219"/>
      <c r="J1768" s="219"/>
      <c r="K1768" s="218"/>
      <c r="L1768" s="167"/>
      <c r="M1768" s="202"/>
      <c r="N1768" s="525"/>
      <c r="O1768" s="203"/>
      <c r="P1768" s="248"/>
      <c r="Q1768" s="201"/>
      <c r="R1768" s="255"/>
      <c r="S1768" s="159"/>
      <c r="T1768" s="235"/>
      <c r="U1768" s="390"/>
    </row>
    <row r="1769" spans="1:21" ht="15.75" hidden="1" outlineLevel="3">
      <c r="A1769" s="162"/>
      <c r="B1769" s="529"/>
      <c r="C1769" s="532" t="s">
        <v>497</v>
      </c>
      <c r="D1769" s="533"/>
      <c r="E1769" s="219"/>
      <c r="F1769" s="217"/>
      <c r="G1769" s="254"/>
      <c r="H1769" s="219"/>
      <c r="I1769" s="219"/>
      <c r="J1769" s="219"/>
      <c r="K1769" s="218"/>
      <c r="L1769" s="167"/>
      <c r="M1769" s="202"/>
      <c r="N1769" s="525"/>
      <c r="O1769" s="203"/>
      <c r="P1769" s="248"/>
      <c r="Q1769" s="201"/>
      <c r="R1769" s="255"/>
      <c r="S1769" s="159"/>
      <c r="T1769" s="235"/>
      <c r="U1769" s="390"/>
    </row>
    <row r="1770" spans="1:21" ht="15.75" hidden="1" outlineLevel="3">
      <c r="A1770" s="162"/>
      <c r="B1770" s="529"/>
      <c r="C1770" s="532" t="s">
        <v>499</v>
      </c>
      <c r="D1770" s="533"/>
      <c r="E1770" s="219"/>
      <c r="F1770" s="217"/>
      <c r="G1770" s="254"/>
      <c r="H1770" s="219"/>
      <c r="I1770" s="219"/>
      <c r="J1770" s="219"/>
      <c r="K1770" s="218"/>
      <c r="L1770" s="167"/>
      <c r="M1770" s="202"/>
      <c r="N1770" s="525"/>
      <c r="O1770" s="203"/>
      <c r="P1770" s="248"/>
      <c r="Q1770" s="201"/>
      <c r="R1770" s="255"/>
      <c r="S1770" s="159"/>
      <c r="T1770" s="235"/>
      <c r="U1770" s="390"/>
    </row>
    <row r="1771" spans="1:21" ht="15.75" hidden="1" outlineLevel="3">
      <c r="A1771" s="162"/>
      <c r="B1771" s="529"/>
      <c r="C1771" s="532" t="s">
        <v>526</v>
      </c>
      <c r="D1771" s="533"/>
      <c r="E1771" s="219"/>
      <c r="F1771" s="217"/>
      <c r="G1771" s="254"/>
      <c r="H1771" s="219"/>
      <c r="I1771" s="219"/>
      <c r="J1771" s="219"/>
      <c r="K1771" s="218"/>
      <c r="L1771" s="167"/>
      <c r="M1771" s="202"/>
      <c r="N1771" s="525"/>
      <c r="O1771" s="203">
        <v>160500</v>
      </c>
      <c r="P1771" s="248">
        <f t="shared" ref="P1771:P1772" si="124">O1771*1.46</f>
        <v>234330</v>
      </c>
      <c r="Q1771" s="201"/>
      <c r="R1771" s="255"/>
      <c r="S1771" s="159">
        <f t="shared" si="123"/>
        <v>234330</v>
      </c>
      <c r="T1771" s="235"/>
      <c r="U1771" s="483"/>
    </row>
    <row r="1772" spans="1:21" ht="15.75" hidden="1" outlineLevel="2" collapsed="1">
      <c r="A1772" s="162"/>
      <c r="B1772" s="529"/>
      <c r="C1772" s="313" t="s">
        <v>620</v>
      </c>
      <c r="D1772" s="362"/>
      <c r="E1772" s="219"/>
      <c r="F1772" s="217"/>
      <c r="G1772" s="254"/>
      <c r="H1772" s="219"/>
      <c r="I1772" s="219"/>
      <c r="J1772" s="219"/>
      <c r="K1772" s="218"/>
      <c r="L1772" s="167"/>
      <c r="M1772" s="202">
        <f>SUM(M1746:M1771)</f>
        <v>100000</v>
      </c>
      <c r="N1772" s="251">
        <f>M1772*1.23</f>
        <v>123000</v>
      </c>
      <c r="O1772" s="203">
        <f>SUM(O1746:O1771)</f>
        <v>474000</v>
      </c>
      <c r="P1772" s="244">
        <f t="shared" si="124"/>
        <v>692040</v>
      </c>
      <c r="Q1772" s="201"/>
      <c r="R1772" s="255"/>
      <c r="S1772" s="159">
        <f t="shared" si="123"/>
        <v>815040</v>
      </c>
      <c r="T1772" s="235"/>
      <c r="U1772" s="390" t="s">
        <v>621</v>
      </c>
    </row>
    <row r="1773" spans="1:21" s="233" customFormat="1" hidden="1" outlineLevel="3">
      <c r="A1773" s="232"/>
      <c r="B1773" s="313" t="s">
        <v>622</v>
      </c>
      <c r="C1773" s="528"/>
      <c r="D1773" s="563"/>
      <c r="E1773" s="203"/>
      <c r="F1773" s="201"/>
      <c r="G1773" s="205"/>
      <c r="H1773" s="203"/>
      <c r="I1773" s="203"/>
      <c r="J1773" s="203"/>
      <c r="K1773" s="222"/>
      <c r="L1773" s="167"/>
      <c r="M1773" s="202"/>
      <c r="N1773" s="525"/>
      <c r="O1773" s="157"/>
      <c r="P1773" s="248"/>
      <c r="Q1773" s="158"/>
      <c r="R1773" s="255"/>
      <c r="S1773" s="159"/>
      <c r="T1773" s="225"/>
      <c r="U1773" s="556"/>
    </row>
    <row r="1774" spans="1:21" s="233" customFormat="1" hidden="1" outlineLevel="2" collapsed="1">
      <c r="A1774" s="232"/>
      <c r="B1774" s="528"/>
      <c r="C1774" s="313" t="s">
        <v>622</v>
      </c>
      <c r="D1774" s="362"/>
      <c r="E1774" s="203"/>
      <c r="F1774" s="201"/>
      <c r="G1774" s="205"/>
      <c r="H1774" s="203"/>
      <c r="I1774" s="203"/>
      <c r="J1774" s="203"/>
      <c r="K1774" s="222"/>
      <c r="L1774" s="167"/>
      <c r="M1774" s="202"/>
      <c r="N1774" s="251"/>
      <c r="O1774" s="157"/>
      <c r="P1774" s="248"/>
      <c r="Q1774" s="158"/>
      <c r="R1774" s="255"/>
      <c r="S1774" s="159"/>
      <c r="T1774" s="225"/>
      <c r="U1774" s="390" t="s">
        <v>1305</v>
      </c>
    </row>
    <row r="1775" spans="1:21" s="233" customFormat="1" hidden="1" outlineLevel="3">
      <c r="A1775" s="232"/>
      <c r="B1775" s="313" t="s">
        <v>623</v>
      </c>
      <c r="C1775" s="528"/>
      <c r="D1775" s="563"/>
      <c r="E1775" s="203"/>
      <c r="F1775" s="201"/>
      <c r="G1775" s="205"/>
      <c r="H1775" s="203"/>
      <c r="I1775" s="203"/>
      <c r="J1775" s="203"/>
      <c r="K1775" s="222"/>
      <c r="L1775" s="167"/>
      <c r="M1775" s="202"/>
      <c r="N1775" s="525"/>
      <c r="O1775" s="157"/>
      <c r="P1775" s="248"/>
      <c r="Q1775" s="158"/>
      <c r="R1775" s="255"/>
      <c r="S1775" s="159"/>
      <c r="T1775" s="225"/>
      <c r="U1775" s="390"/>
    </row>
    <row r="1776" spans="1:21" ht="15.75" hidden="1" outlineLevel="3">
      <c r="A1776" s="162"/>
      <c r="B1776" s="529"/>
      <c r="C1776" s="532" t="s">
        <v>379</v>
      </c>
      <c r="D1776" s="533"/>
      <c r="E1776" s="219"/>
      <c r="F1776" s="217"/>
      <c r="G1776" s="254"/>
      <c r="H1776" s="219"/>
      <c r="I1776" s="219"/>
      <c r="J1776" s="219"/>
      <c r="K1776" s="218"/>
      <c r="L1776" s="167"/>
      <c r="M1776" s="528"/>
      <c r="N1776" s="525"/>
      <c r="O1776" s="203">
        <v>206000</v>
      </c>
      <c r="P1776" s="248">
        <f>O1776*1.46</f>
        <v>300760</v>
      </c>
      <c r="Q1776" s="171"/>
      <c r="R1776" s="255"/>
      <c r="S1776" s="159">
        <f t="shared" ref="S1776:S1777" si="125">SUM(L1776,N1776,P1776,R1776)</f>
        <v>300760</v>
      </c>
      <c r="T1776" s="235"/>
      <c r="U1776" s="483" t="s">
        <v>624</v>
      </c>
    </row>
    <row r="1777" spans="1:21" ht="15.75" hidden="1" outlineLevel="2" collapsed="1">
      <c r="A1777" s="162"/>
      <c r="B1777" s="529"/>
      <c r="C1777" s="313" t="s">
        <v>623</v>
      </c>
      <c r="D1777" s="362"/>
      <c r="E1777" s="219"/>
      <c r="F1777" s="217"/>
      <c r="G1777" s="254"/>
      <c r="H1777" s="219"/>
      <c r="I1777" s="219"/>
      <c r="J1777" s="219"/>
      <c r="K1777" s="218"/>
      <c r="L1777" s="167"/>
      <c r="M1777" s="528"/>
      <c r="N1777" s="525"/>
      <c r="O1777" s="203">
        <f>SUM(O1776)</f>
        <v>206000</v>
      </c>
      <c r="P1777" s="248">
        <f>O1777*1.46</f>
        <v>300760</v>
      </c>
      <c r="Q1777" s="171"/>
      <c r="R1777" s="255"/>
      <c r="S1777" s="159">
        <f t="shared" si="125"/>
        <v>300760</v>
      </c>
      <c r="T1777" s="235"/>
      <c r="U1777" s="483" t="s">
        <v>624</v>
      </c>
    </row>
    <row r="1778" spans="1:21" s="233" customFormat="1" hidden="1" outlineLevel="3">
      <c r="A1778" s="232"/>
      <c r="B1778" s="313" t="s">
        <v>625</v>
      </c>
      <c r="C1778" s="528"/>
      <c r="D1778" s="563"/>
      <c r="E1778" s="203"/>
      <c r="F1778" s="201"/>
      <c r="G1778" s="205"/>
      <c r="H1778" s="203"/>
      <c r="I1778" s="203"/>
      <c r="J1778" s="203"/>
      <c r="K1778" s="222"/>
      <c r="L1778" s="167"/>
      <c r="M1778" s="202"/>
      <c r="N1778" s="525"/>
      <c r="O1778" s="157"/>
      <c r="P1778" s="248"/>
      <c r="Q1778" s="158"/>
      <c r="R1778" s="255"/>
      <c r="S1778" s="159"/>
      <c r="T1778" s="225"/>
      <c r="U1778" s="390"/>
    </row>
    <row r="1779" spans="1:21" ht="15.75" hidden="1" outlineLevel="3">
      <c r="A1779" s="162"/>
      <c r="B1779" s="529"/>
      <c r="C1779" s="532" t="s">
        <v>379</v>
      </c>
      <c r="D1779" s="533"/>
      <c r="E1779" s="219"/>
      <c r="F1779" s="217"/>
      <c r="G1779" s="254"/>
      <c r="H1779" s="219"/>
      <c r="I1779" s="219"/>
      <c r="J1779" s="219"/>
      <c r="K1779" s="218"/>
      <c r="L1779" s="167"/>
      <c r="M1779" s="202"/>
      <c r="N1779" s="525"/>
      <c r="O1779" s="203"/>
      <c r="P1779" s="248"/>
      <c r="Q1779" s="201"/>
      <c r="R1779" s="255"/>
      <c r="S1779" s="226"/>
      <c r="T1779" s="235"/>
      <c r="U1779" s="483"/>
    </row>
    <row r="1780" spans="1:21" ht="15.75" hidden="1" outlineLevel="2" collapsed="1">
      <c r="A1780" s="162"/>
      <c r="B1780" s="529"/>
      <c r="C1780" s="313" t="s">
        <v>625</v>
      </c>
      <c r="D1780" s="362"/>
      <c r="E1780" s="219"/>
      <c r="F1780" s="217"/>
      <c r="G1780" s="254"/>
      <c r="H1780" s="219"/>
      <c r="I1780" s="219"/>
      <c r="J1780" s="219"/>
      <c r="K1780" s="218"/>
      <c r="L1780" s="167"/>
      <c r="M1780" s="202"/>
      <c r="N1780" s="251"/>
      <c r="O1780" s="203"/>
      <c r="P1780" s="248"/>
      <c r="Q1780" s="201"/>
      <c r="R1780" s="255"/>
      <c r="S1780" s="226"/>
      <c r="T1780" s="235"/>
      <c r="U1780" s="390" t="s">
        <v>1170</v>
      </c>
    </row>
    <row r="1781" spans="1:21" s="233" customFormat="1" hidden="1" outlineLevel="3">
      <c r="A1781" s="232"/>
      <c r="B1781" s="313" t="s">
        <v>626</v>
      </c>
      <c r="C1781" s="528"/>
      <c r="D1781" s="563"/>
      <c r="E1781" s="203"/>
      <c r="F1781" s="201"/>
      <c r="G1781" s="205"/>
      <c r="H1781" s="203"/>
      <c r="I1781" s="203"/>
      <c r="J1781" s="203"/>
      <c r="K1781" s="222"/>
      <c r="L1781" s="526"/>
      <c r="M1781" s="202"/>
      <c r="N1781" s="251"/>
      <c r="O1781" s="157"/>
      <c r="P1781" s="248"/>
      <c r="Q1781" s="158"/>
      <c r="R1781" s="255"/>
      <c r="S1781" s="159"/>
      <c r="T1781" s="225"/>
      <c r="U1781" s="556"/>
    </row>
    <row r="1782" spans="1:21" s="233" customFormat="1" hidden="1" outlineLevel="2" collapsed="1">
      <c r="A1782" s="232"/>
      <c r="B1782" s="528"/>
      <c r="C1782" s="313" t="s">
        <v>626</v>
      </c>
      <c r="D1782" s="362"/>
      <c r="E1782" s="203"/>
      <c r="F1782" s="201"/>
      <c r="G1782" s="205"/>
      <c r="H1782" s="203"/>
      <c r="I1782" s="203"/>
      <c r="J1782" s="203"/>
      <c r="K1782" s="222"/>
      <c r="L1782" s="526"/>
      <c r="M1782" s="202"/>
      <c r="N1782" s="251"/>
      <c r="O1782" s="157"/>
      <c r="P1782" s="248"/>
      <c r="Q1782" s="158"/>
      <c r="R1782" s="255"/>
      <c r="S1782" s="159"/>
      <c r="T1782" s="225"/>
      <c r="U1782" s="390" t="s">
        <v>1171</v>
      </c>
    </row>
    <row r="1783" spans="1:21" s="233" customFormat="1" hidden="1" outlineLevel="3">
      <c r="A1783" s="232"/>
      <c r="B1783" s="313" t="s">
        <v>627</v>
      </c>
      <c r="C1783" s="528"/>
      <c r="D1783" s="563"/>
      <c r="E1783" s="203"/>
      <c r="F1783" s="201"/>
      <c r="G1783" s="205"/>
      <c r="H1783" s="203"/>
      <c r="I1783" s="203"/>
      <c r="J1783" s="203"/>
      <c r="K1783" s="222"/>
      <c r="L1783" s="167"/>
      <c r="M1783" s="202"/>
      <c r="N1783" s="525"/>
      <c r="O1783" s="157"/>
      <c r="P1783" s="248"/>
      <c r="Q1783" s="158"/>
      <c r="R1783" s="255"/>
      <c r="S1783" s="159"/>
      <c r="T1783" s="225"/>
      <c r="U1783" s="390"/>
    </row>
    <row r="1784" spans="1:21" ht="15.75" hidden="1" outlineLevel="3">
      <c r="A1784" s="162"/>
      <c r="B1784" s="529"/>
      <c r="C1784" s="532" t="s">
        <v>379</v>
      </c>
      <c r="D1784" s="533"/>
      <c r="E1784" s="219"/>
      <c r="F1784" s="217"/>
      <c r="G1784" s="254"/>
      <c r="H1784" s="219"/>
      <c r="I1784" s="219"/>
      <c r="J1784" s="219"/>
      <c r="K1784" s="218"/>
      <c r="L1784" s="167"/>
      <c r="M1784" s="528"/>
      <c r="N1784" s="525"/>
      <c r="O1784" s="171"/>
      <c r="P1784" s="248"/>
      <c r="Q1784" s="201">
        <v>104000</v>
      </c>
      <c r="R1784" s="255">
        <f>Q1784*1.73</f>
        <v>179920</v>
      </c>
      <c r="S1784" s="159">
        <f t="shared" ref="S1784:S1785" si="126">SUM(L1784,N1784,P1784,R1784)</f>
        <v>179920</v>
      </c>
      <c r="T1784" s="235"/>
      <c r="U1784" s="483"/>
    </row>
    <row r="1785" spans="1:21" ht="15.75" hidden="1" outlineLevel="2" collapsed="1">
      <c r="A1785" s="162"/>
      <c r="B1785" s="529"/>
      <c r="C1785" s="313" t="s">
        <v>627</v>
      </c>
      <c r="D1785" s="362"/>
      <c r="E1785" s="219"/>
      <c r="F1785" s="217"/>
      <c r="G1785" s="254"/>
      <c r="H1785" s="219"/>
      <c r="I1785" s="219"/>
      <c r="J1785" s="219"/>
      <c r="K1785" s="218"/>
      <c r="L1785" s="167"/>
      <c r="M1785" s="528"/>
      <c r="N1785" s="525"/>
      <c r="O1785" s="171"/>
      <c r="P1785" s="248"/>
      <c r="Q1785" s="201">
        <f>SUM(Q1784)</f>
        <v>104000</v>
      </c>
      <c r="R1785" s="255">
        <f>Q1785*1.73</f>
        <v>179920</v>
      </c>
      <c r="S1785" s="159">
        <f t="shared" si="126"/>
        <v>179920</v>
      </c>
      <c r="T1785" s="235"/>
      <c r="U1785" s="390" t="s">
        <v>662</v>
      </c>
    </row>
    <row r="1786" spans="1:21" s="233" customFormat="1" hidden="1" outlineLevel="3">
      <c r="A1786" s="232"/>
      <c r="B1786" s="313" t="s">
        <v>629</v>
      </c>
      <c r="C1786" s="528"/>
      <c r="D1786" s="563"/>
      <c r="E1786" s="203"/>
      <c r="F1786" s="201"/>
      <c r="G1786" s="205"/>
      <c r="H1786" s="203"/>
      <c r="I1786" s="203"/>
      <c r="J1786" s="203"/>
      <c r="K1786" s="222"/>
      <c r="L1786" s="167"/>
      <c r="M1786" s="202"/>
      <c r="N1786" s="525"/>
      <c r="O1786" s="157"/>
      <c r="P1786" s="248"/>
      <c r="Q1786" s="158"/>
      <c r="R1786" s="255"/>
      <c r="S1786" s="159"/>
      <c r="T1786" s="225"/>
      <c r="U1786" s="390"/>
    </row>
    <row r="1787" spans="1:21" ht="15.75" hidden="1" outlineLevel="3">
      <c r="A1787" s="162"/>
      <c r="B1787" s="529"/>
      <c r="C1787" s="532" t="s">
        <v>379</v>
      </c>
      <c r="D1787" s="533"/>
      <c r="E1787" s="219"/>
      <c r="F1787" s="217"/>
      <c r="G1787" s="254"/>
      <c r="H1787" s="219"/>
      <c r="I1787" s="219"/>
      <c r="J1787" s="219"/>
      <c r="K1787" s="218"/>
      <c r="L1787" s="167"/>
      <c r="M1787" s="202"/>
      <c r="N1787" s="525"/>
      <c r="O1787" s="203"/>
      <c r="P1787" s="248"/>
      <c r="Q1787" s="201">
        <v>123000</v>
      </c>
      <c r="R1787" s="255">
        <f>Q1787*1.73</f>
        <v>212790</v>
      </c>
      <c r="S1787" s="159">
        <f t="shared" ref="S1787:S1788" si="127">SUM(L1787,N1787,P1787,R1787)</f>
        <v>212790</v>
      </c>
      <c r="T1787" s="235"/>
      <c r="U1787" s="390" t="s">
        <v>662</v>
      </c>
    </row>
    <row r="1788" spans="1:21" ht="15.75" hidden="1" outlineLevel="2" collapsed="1">
      <c r="A1788" s="162"/>
      <c r="B1788" s="529"/>
      <c r="C1788" s="313" t="s">
        <v>629</v>
      </c>
      <c r="D1788" s="362"/>
      <c r="E1788" s="219"/>
      <c r="F1788" s="217"/>
      <c r="G1788" s="254"/>
      <c r="H1788" s="219"/>
      <c r="I1788" s="219"/>
      <c r="J1788" s="219"/>
      <c r="K1788" s="218"/>
      <c r="L1788" s="167"/>
      <c r="M1788" s="202"/>
      <c r="N1788" s="251"/>
      <c r="O1788" s="203"/>
      <c r="P1788" s="248"/>
      <c r="Q1788" s="201">
        <f>SUM(Q1787)</f>
        <v>123000</v>
      </c>
      <c r="R1788" s="255">
        <f>Q1788*1.73</f>
        <v>212790</v>
      </c>
      <c r="S1788" s="159">
        <f t="shared" si="127"/>
        <v>212790</v>
      </c>
      <c r="T1788" s="235"/>
      <c r="U1788" s="390" t="s">
        <v>662</v>
      </c>
    </row>
    <row r="1789" spans="1:21" s="233" customFormat="1" hidden="1" outlineLevel="3">
      <c r="A1789" s="232"/>
      <c r="B1789" s="313" t="s">
        <v>630</v>
      </c>
      <c r="C1789" s="528"/>
      <c r="D1789" s="563"/>
      <c r="E1789" s="203"/>
      <c r="F1789" s="201"/>
      <c r="G1789" s="205"/>
      <c r="H1789" s="203"/>
      <c r="I1789" s="203"/>
      <c r="J1789" s="203"/>
      <c r="K1789" s="222"/>
      <c r="L1789" s="526"/>
      <c r="M1789" s="202"/>
      <c r="N1789" s="251"/>
      <c r="O1789" s="157"/>
      <c r="P1789" s="248"/>
      <c r="Q1789" s="158"/>
      <c r="R1789" s="255"/>
      <c r="S1789" s="159"/>
      <c r="T1789" s="225"/>
      <c r="U1789" s="390" t="s">
        <v>628</v>
      </c>
    </row>
    <row r="1790" spans="1:21" s="233" customFormat="1" hidden="1" outlineLevel="2" collapsed="1">
      <c r="A1790" s="232"/>
      <c r="B1790" s="528"/>
      <c r="C1790" s="313" t="s">
        <v>630</v>
      </c>
      <c r="D1790" s="362"/>
      <c r="E1790" s="203"/>
      <c r="F1790" s="201"/>
      <c r="G1790" s="205"/>
      <c r="H1790" s="203"/>
      <c r="I1790" s="203"/>
      <c r="J1790" s="203"/>
      <c r="K1790" s="222"/>
      <c r="L1790" s="526"/>
      <c r="M1790" s="202"/>
      <c r="N1790" s="251"/>
      <c r="O1790" s="157"/>
      <c r="P1790" s="248"/>
      <c r="Q1790" s="158"/>
      <c r="R1790" s="255"/>
      <c r="S1790" s="159"/>
      <c r="T1790" s="225"/>
      <c r="U1790" s="390" t="s">
        <v>631</v>
      </c>
    </row>
    <row r="1791" spans="1:21" s="233" customFormat="1" hidden="1" outlineLevel="3">
      <c r="A1791" s="232"/>
      <c r="B1791" s="313" t="s">
        <v>632</v>
      </c>
      <c r="C1791" s="528"/>
      <c r="D1791" s="563"/>
      <c r="E1791" s="203"/>
      <c r="F1791" s="201"/>
      <c r="G1791" s="205"/>
      <c r="H1791" s="203"/>
      <c r="I1791" s="203"/>
      <c r="J1791" s="203"/>
      <c r="K1791" s="222"/>
      <c r="L1791" s="167"/>
      <c r="M1791" s="202"/>
      <c r="N1791" s="251"/>
      <c r="O1791" s="157"/>
      <c r="P1791" s="248"/>
      <c r="Q1791" s="158"/>
      <c r="R1791" s="255"/>
      <c r="S1791" s="159"/>
      <c r="T1791" s="225"/>
      <c r="U1791" s="390"/>
    </row>
    <row r="1792" spans="1:21" s="233" customFormat="1" hidden="1" outlineLevel="2" collapsed="1">
      <c r="A1792" s="232"/>
      <c r="B1792" s="528"/>
      <c r="C1792" s="313" t="s">
        <v>632</v>
      </c>
      <c r="D1792" s="362"/>
      <c r="E1792" s="203"/>
      <c r="F1792" s="201"/>
      <c r="G1792" s="205"/>
      <c r="H1792" s="203"/>
      <c r="I1792" s="203"/>
      <c r="J1792" s="203"/>
      <c r="K1792" s="222"/>
      <c r="L1792" s="167"/>
      <c r="M1792" s="202"/>
      <c r="N1792" s="251"/>
      <c r="O1792" s="157"/>
      <c r="P1792" s="248"/>
      <c r="Q1792" s="158"/>
      <c r="R1792" s="255"/>
      <c r="S1792" s="159"/>
      <c r="T1792" s="225"/>
      <c r="U1792" s="390" t="s">
        <v>633</v>
      </c>
    </row>
    <row r="1793" spans="1:21" s="233" customFormat="1" hidden="1" outlineLevel="3">
      <c r="A1793" s="232"/>
      <c r="B1793" s="313" t="s">
        <v>634</v>
      </c>
      <c r="C1793" s="528"/>
      <c r="D1793" s="563"/>
      <c r="E1793" s="203"/>
      <c r="F1793" s="201"/>
      <c r="G1793" s="205"/>
      <c r="H1793" s="203"/>
      <c r="I1793" s="203"/>
      <c r="J1793" s="203"/>
      <c r="K1793" s="222"/>
      <c r="L1793" s="167"/>
      <c r="M1793" s="202"/>
      <c r="N1793" s="251"/>
      <c r="O1793" s="157"/>
      <c r="P1793" s="248"/>
      <c r="Q1793" s="158"/>
      <c r="R1793" s="255"/>
      <c r="S1793" s="159"/>
      <c r="T1793" s="225"/>
      <c r="U1793" s="556"/>
    </row>
    <row r="1794" spans="1:21" s="233" customFormat="1" hidden="1" outlineLevel="2" collapsed="1">
      <c r="A1794" s="232"/>
      <c r="B1794" s="528"/>
      <c r="C1794" s="313" t="s">
        <v>634</v>
      </c>
      <c r="D1794" s="362"/>
      <c r="E1794" s="203"/>
      <c r="F1794" s="201"/>
      <c r="G1794" s="205"/>
      <c r="H1794" s="203"/>
      <c r="I1794" s="203"/>
      <c r="J1794" s="203"/>
      <c r="K1794" s="222"/>
      <c r="L1794" s="167"/>
      <c r="M1794" s="202"/>
      <c r="N1794" s="251"/>
      <c r="O1794" s="157"/>
      <c r="P1794" s="248"/>
      <c r="Q1794" s="158"/>
      <c r="R1794" s="255"/>
      <c r="S1794" s="159"/>
      <c r="T1794" s="225"/>
      <c r="U1794" s="390" t="s">
        <v>1478</v>
      </c>
    </row>
    <row r="1795" spans="1:21" hidden="1" outlineLevel="1" collapsed="1">
      <c r="A1795" s="231"/>
      <c r="B1795" s="163"/>
      <c r="C1795" s="560" t="s">
        <v>635</v>
      </c>
      <c r="D1795" s="561"/>
      <c r="E1795" s="164"/>
      <c r="F1795" s="165"/>
      <c r="G1795" s="249">
        <f>SUM(G1592,G1594,G1596,G1625,G1654,G1657,G1685,G1713,G1741,G1744,G1772,G1774,G1777,G1780,G1782,G1785,G1788,G1790,G1792,G1794)</f>
        <v>0</v>
      </c>
      <c r="H1795" s="244"/>
      <c r="I1795" s="244">
        <f>SUM(I1592,I1594,I1596,I1625,I1654,I1657,I1685,I1713,I1741,I1744,I1772,I1774,I1777,I1780,I1782,I1785,I1788,I1790,I1792,I1794)</f>
        <v>0</v>
      </c>
      <c r="J1795" s="244">
        <f>SUM(J1592,J1594,J1596,J1625,J1654,J1657,J1685,J1713,J1741,J1744,J1772,J1774,J1777,J1780,J1782,J1785,J1788,J1790,J1792,J1794)</f>
        <v>0</v>
      </c>
      <c r="K1795" s="255">
        <f>SUM(K1592,K1594,K1596,K1625,K1654,K1657,K1685,K1713,K1741,K1744,K1772,K1774,K1777,K1780,K1782,K1785,K1788,K1790,K1792,K1794)</f>
        <v>0</v>
      </c>
      <c r="L1795" s="159">
        <f>SUM(L1592,L1594,L1596,L1625,L1654,L1657,L1685,L1713,L1741,L1744,L1772,L1774,L1777,L1780,L1782,L1785,L1788,L1790,L1792,L1794)</f>
        <v>0</v>
      </c>
      <c r="M1795" s="156">
        <f>SUM(M1592,M1594,M1596,M1625,M1654,M1657,M1685,M1713,M1741,M1744,M1772,M1774,M1777,M1780,M1782,M1785,M1788,M1790,M1792,M1794)</f>
        <v>13759000</v>
      </c>
      <c r="N1795" s="250">
        <f>M1795*1.23</f>
        <v>16923570</v>
      </c>
      <c r="O1795" s="157">
        <f>SUM(O1592,O1594,O1596,O1625,O1654,O1657,O1685,O1713,O1741,O1744,O1772,O1774,O1777,O1780,O1782,O1785,O1788,O1790,O1792,O1794)</f>
        <v>2356000</v>
      </c>
      <c r="P1795" s="248">
        <f>O1795*1.46</f>
        <v>3439760</v>
      </c>
      <c r="Q1795" s="158">
        <f>SUM(Q1592,Q1594,Q1596,Q1625,Q1654,Q1657,Q1685,Q1713,Q1741,Q1744,Q1772,Q1774,Q1777,Q1780,Q1782,Q1785,Q1788,Q1790,Q1792,Q1794)</f>
        <v>227000</v>
      </c>
      <c r="R1795" s="255">
        <f>Q1795*1.73</f>
        <v>392710</v>
      </c>
      <c r="S1795" s="159">
        <f t="shared" ref="S1795:S1799" si="128">SUM(L1795,N1795,P1795,R1795)</f>
        <v>20756040</v>
      </c>
      <c r="T1795" s="225"/>
      <c r="U1795" s="170"/>
    </row>
    <row r="1796" spans="1:21" ht="16.5" hidden="1" customHeight="1" outlineLevel="1">
      <c r="A1796" s="231"/>
      <c r="B1796" s="163"/>
      <c r="C1796" s="329" t="s">
        <v>1483</v>
      </c>
      <c r="D1796" s="347"/>
      <c r="E1796" s="164"/>
      <c r="F1796" s="165"/>
      <c r="G1796" s="423" t="e">
        <f>CIP!#REF!</f>
        <v>#REF!</v>
      </c>
      <c r="H1796" s="406" t="e">
        <f>CIP!#REF!</f>
        <v>#REF!</v>
      </c>
      <c r="I1796" s="406" t="e">
        <f>CIP!#REF!</f>
        <v>#REF!</v>
      </c>
      <c r="J1796" s="406" t="e">
        <f>CIP!#REF!</f>
        <v>#REF!</v>
      </c>
      <c r="K1796" s="566" t="e">
        <f>CIP!#REF!</f>
        <v>#REF!</v>
      </c>
      <c r="L1796" s="159" t="e">
        <f>SUM(G1796:K1796)</f>
        <v>#REF!</v>
      </c>
      <c r="M1796" s="156">
        <v>500000</v>
      </c>
      <c r="N1796" s="250">
        <f>M1796*1.23</f>
        <v>615000</v>
      </c>
      <c r="O1796" s="157">
        <v>500000</v>
      </c>
      <c r="P1796" s="248">
        <f>O1796*1.46</f>
        <v>730000</v>
      </c>
      <c r="Q1796" s="158">
        <v>500000</v>
      </c>
      <c r="R1796" s="255">
        <f>Q1796*1.73</f>
        <v>865000</v>
      </c>
      <c r="S1796" s="159" t="e">
        <f t="shared" ref="S1796:S1797" si="129">SUM(L1796,N1796,P1796,R1796)</f>
        <v>#REF!</v>
      </c>
      <c r="T1796" s="225"/>
      <c r="U1796" s="170"/>
    </row>
    <row r="1797" spans="1:21" ht="16.5" hidden="1" customHeight="1" outlineLevel="1">
      <c r="A1797" s="231"/>
      <c r="B1797" s="163"/>
      <c r="C1797" s="329" t="s">
        <v>1484</v>
      </c>
      <c r="D1797" s="347"/>
      <c r="E1797" s="164"/>
      <c r="F1797" s="165"/>
      <c r="G1797" s="423">
        <f>CIP!$AR$19</f>
        <v>100000</v>
      </c>
      <c r="H1797" s="406">
        <f>CIP!$AS$47</f>
        <v>0</v>
      </c>
      <c r="I1797" s="244">
        <f>CIP!$AT$67</f>
        <v>0</v>
      </c>
      <c r="J1797" s="244">
        <f>CIP!$AU$96</f>
        <v>0</v>
      </c>
      <c r="K1797" s="255"/>
      <c r="L1797" s="159">
        <f>SUM(G1797:K1797)</f>
        <v>100000</v>
      </c>
      <c r="M1797" s="156">
        <v>1000000</v>
      </c>
      <c r="N1797" s="250">
        <f>M1797*1.23</f>
        <v>1230000</v>
      </c>
      <c r="O1797" s="156">
        <v>1000000</v>
      </c>
      <c r="P1797" s="248">
        <f>O1797*1.46</f>
        <v>1460000</v>
      </c>
      <c r="Q1797" s="259">
        <v>1000000</v>
      </c>
      <c r="R1797" s="255">
        <f>Q1797*1.73</f>
        <v>1730000</v>
      </c>
      <c r="S1797" s="159">
        <f t="shared" si="129"/>
        <v>4520000</v>
      </c>
      <c r="T1797" s="225"/>
      <c r="U1797" s="170" t="s">
        <v>1234</v>
      </c>
    </row>
    <row r="1798" spans="1:21" ht="16.5" customHeight="1" collapsed="1">
      <c r="A1798" s="231"/>
      <c r="B1798" s="163"/>
      <c r="C1798" s="329" t="s">
        <v>706</v>
      </c>
      <c r="D1798" s="347"/>
      <c r="E1798" s="164"/>
      <c r="F1798" s="165"/>
      <c r="G1798" s="249" t="e">
        <f>SUM(G1070,G1307,G1563,G1795,G1796,G1797)</f>
        <v>#REF!</v>
      </c>
      <c r="H1798" s="249" t="e">
        <f t="shared" ref="H1798:Q1798" si="130">SUM(H1070,H1307,H1563,H1795,H1796,H1797)</f>
        <v>#REF!</v>
      </c>
      <c r="I1798" s="249" t="e">
        <f t="shared" si="130"/>
        <v>#REF!</v>
      </c>
      <c r="J1798" s="249" t="e">
        <f t="shared" si="130"/>
        <v>#REF!</v>
      </c>
      <c r="K1798" s="249" t="e">
        <f t="shared" si="130"/>
        <v>#REF!</v>
      </c>
      <c r="L1798" s="159" t="e">
        <f t="shared" si="130"/>
        <v>#REF!</v>
      </c>
      <c r="M1798" s="197">
        <f t="shared" si="130"/>
        <v>33809000</v>
      </c>
      <c r="N1798" s="250">
        <f>M1798*1.23</f>
        <v>41585070</v>
      </c>
      <c r="O1798" s="197">
        <f t="shared" si="130"/>
        <v>17464000</v>
      </c>
      <c r="P1798" s="248">
        <f>O1798*1.46</f>
        <v>25497440</v>
      </c>
      <c r="Q1798" s="197">
        <f t="shared" si="130"/>
        <v>20737000</v>
      </c>
      <c r="R1798" s="255">
        <f>Q1798*1.73</f>
        <v>35875010</v>
      </c>
      <c r="S1798" s="159" t="e">
        <f t="shared" si="128"/>
        <v>#REF!</v>
      </c>
      <c r="T1798" s="225"/>
      <c r="U1798" s="170" t="s">
        <v>517</v>
      </c>
    </row>
    <row r="1799" spans="1:21" ht="15.75">
      <c r="A1799" s="229"/>
      <c r="B1799" s="751" t="s">
        <v>707</v>
      </c>
      <c r="C1799" s="749"/>
      <c r="D1799" s="348"/>
      <c r="E1799" s="261"/>
      <c r="F1799" s="262"/>
      <c r="G1799" s="249" t="e">
        <f>SUM(G726,G1798)</f>
        <v>#REF!</v>
      </c>
      <c r="H1799" s="249" t="e">
        <f t="shared" ref="H1799:Q1799" si="131">SUM(H726,H1798)</f>
        <v>#REF!</v>
      </c>
      <c r="I1799" s="249" t="e">
        <f t="shared" si="131"/>
        <v>#REF!</v>
      </c>
      <c r="J1799" s="249" t="e">
        <f t="shared" si="131"/>
        <v>#REF!</v>
      </c>
      <c r="K1799" s="249" t="e">
        <f t="shared" si="131"/>
        <v>#REF!</v>
      </c>
      <c r="L1799" s="249" t="e">
        <f t="shared" si="131"/>
        <v>#REF!</v>
      </c>
      <c r="M1799" s="197">
        <f t="shared" si="131"/>
        <v>143054000</v>
      </c>
      <c r="N1799" s="249">
        <f>SUM(N726,N1798)</f>
        <v>175956420</v>
      </c>
      <c r="O1799" s="197">
        <f t="shared" si="131"/>
        <v>106839000</v>
      </c>
      <c r="P1799" s="249">
        <f>SUM(P726,P1798)</f>
        <v>155984940</v>
      </c>
      <c r="Q1799" s="197">
        <f t="shared" si="131"/>
        <v>98437000</v>
      </c>
      <c r="R1799" s="249">
        <f>SUM(R726,R1798)</f>
        <v>170296010</v>
      </c>
      <c r="S1799" s="187" t="e">
        <f t="shared" si="128"/>
        <v>#REF!</v>
      </c>
      <c r="T1799" s="225"/>
      <c r="U1799" s="263"/>
    </row>
    <row r="1800" spans="1:21" ht="12.75" customHeight="1">
      <c r="A1800" s="231"/>
      <c r="B1800" s="163"/>
      <c r="C1800" s="163"/>
      <c r="D1800" s="166"/>
      <c r="E1800" s="164"/>
      <c r="F1800" s="165"/>
      <c r="G1800" s="172"/>
      <c r="H1800" s="164"/>
      <c r="I1800" s="164"/>
      <c r="J1800" s="164"/>
      <c r="K1800" s="223"/>
      <c r="L1800" s="173"/>
      <c r="M1800" s="230"/>
      <c r="N1800" s="253"/>
      <c r="O1800" s="256"/>
      <c r="P1800" s="162"/>
      <c r="Q1800" s="506"/>
      <c r="R1800" s="515"/>
      <c r="S1800" s="245"/>
      <c r="T1800" s="246"/>
      <c r="U1800" s="170"/>
    </row>
    <row r="1801" spans="1:21" ht="15.75">
      <c r="A1801" s="264" t="s">
        <v>708</v>
      </c>
      <c r="B1801" s="265"/>
      <c r="C1801" s="271"/>
      <c r="D1801" s="349"/>
      <c r="E1801" s="266"/>
      <c r="F1801" s="267"/>
      <c r="G1801" s="268"/>
      <c r="H1801" s="266"/>
      <c r="I1801" s="266"/>
      <c r="J1801" s="266"/>
      <c r="K1801" s="267"/>
      <c r="L1801" s="269"/>
      <c r="M1801" s="507"/>
      <c r="N1801" s="270"/>
      <c r="O1801" s="510"/>
      <c r="P1801" s="271"/>
      <c r="Q1801" s="512"/>
      <c r="R1801" s="516"/>
      <c r="S1801" s="272"/>
      <c r="T1801" s="273"/>
      <c r="U1801" s="274"/>
    </row>
    <row r="1802" spans="1:21" outlineLevel="1">
      <c r="A1802" s="229" t="s">
        <v>709</v>
      </c>
      <c r="B1802" s="163"/>
      <c r="C1802" s="163"/>
      <c r="D1802" s="166"/>
      <c r="E1802" s="164"/>
      <c r="F1802" s="165"/>
      <c r="G1802" s="172"/>
      <c r="H1802" s="164"/>
      <c r="I1802" s="164"/>
      <c r="J1802" s="164"/>
      <c r="K1802" s="165"/>
      <c r="L1802" s="275"/>
      <c r="M1802" s="508"/>
      <c r="N1802" s="276"/>
      <c r="O1802" s="511"/>
      <c r="P1802" s="277"/>
      <c r="Q1802" s="513"/>
      <c r="R1802" s="517"/>
      <c r="S1802" s="278"/>
      <c r="T1802" s="279"/>
      <c r="U1802" s="280"/>
    </row>
    <row r="1803" spans="1:21" ht="18.75" outlineLevel="2">
      <c r="A1803" s="288"/>
      <c r="B1803" s="299" t="s">
        <v>710</v>
      </c>
      <c r="C1803" s="229" t="s">
        <v>711</v>
      </c>
      <c r="D1803" s="166"/>
      <c r="E1803" s="164"/>
      <c r="F1803" s="165"/>
      <c r="G1803" s="172"/>
      <c r="H1803" s="164"/>
      <c r="I1803" s="164"/>
      <c r="J1803" s="164"/>
      <c r="K1803" s="165"/>
      <c r="L1803" s="275"/>
      <c r="M1803" s="508"/>
      <c r="N1803" s="276"/>
      <c r="O1803" s="511"/>
      <c r="P1803" s="277"/>
      <c r="Q1803" s="513"/>
      <c r="R1803" s="517"/>
      <c r="S1803" s="278"/>
      <c r="T1803" s="281"/>
      <c r="U1803" s="280"/>
    </row>
    <row r="1804" spans="1:21" outlineLevel="3">
      <c r="A1804" s="231"/>
      <c r="B1804" s="253">
        <v>71</v>
      </c>
      <c r="C1804" s="162" t="s">
        <v>712</v>
      </c>
      <c r="D1804" s="166"/>
      <c r="E1804" s="169"/>
      <c r="F1804" s="162"/>
      <c r="G1804" s="172">
        <v>180000</v>
      </c>
      <c r="H1804" s="169"/>
      <c r="I1804" s="169"/>
      <c r="J1804" s="169"/>
      <c r="K1804" s="162"/>
      <c r="L1804" s="173"/>
      <c r="M1804" s="230"/>
      <c r="N1804" s="253"/>
      <c r="O1804" s="256"/>
      <c r="P1804" s="162"/>
      <c r="Q1804" s="506"/>
      <c r="R1804" s="515"/>
      <c r="S1804" s="173"/>
      <c r="T1804" s="282" t="s">
        <v>713</v>
      </c>
      <c r="U1804" s="253"/>
    </row>
    <row r="1805" spans="1:21" outlineLevel="3">
      <c r="A1805" s="231"/>
      <c r="B1805" s="253">
        <v>88</v>
      </c>
      <c r="C1805" s="162" t="s">
        <v>714</v>
      </c>
      <c r="D1805" s="166"/>
      <c r="E1805" s="169"/>
      <c r="F1805" s="162"/>
      <c r="G1805" s="172">
        <v>100080</v>
      </c>
      <c r="H1805" s="169"/>
      <c r="I1805" s="169"/>
      <c r="J1805" s="169"/>
      <c r="K1805" s="162"/>
      <c r="L1805" s="173"/>
      <c r="M1805" s="230"/>
      <c r="N1805" s="253"/>
      <c r="O1805" s="256"/>
      <c r="P1805" s="162"/>
      <c r="Q1805" s="506"/>
      <c r="R1805" s="515"/>
      <c r="S1805" s="173"/>
      <c r="T1805" s="282" t="s">
        <v>713</v>
      </c>
      <c r="U1805" s="253"/>
    </row>
    <row r="1806" spans="1:21" outlineLevel="3">
      <c r="A1806" s="231"/>
      <c r="B1806" s="253">
        <v>52</v>
      </c>
      <c r="C1806" s="162" t="s">
        <v>715</v>
      </c>
      <c r="D1806" s="166"/>
      <c r="E1806" s="169"/>
      <c r="F1806" s="162"/>
      <c r="G1806" s="172">
        <v>82800</v>
      </c>
      <c r="H1806" s="169"/>
      <c r="I1806" s="169"/>
      <c r="J1806" s="169"/>
      <c r="K1806" s="162"/>
      <c r="L1806" s="173"/>
      <c r="M1806" s="230"/>
      <c r="N1806" s="253"/>
      <c r="O1806" s="256"/>
      <c r="P1806" s="162"/>
      <c r="Q1806" s="506"/>
      <c r="R1806" s="515"/>
      <c r="S1806" s="173"/>
      <c r="T1806" s="282" t="s">
        <v>713</v>
      </c>
      <c r="U1806" s="253"/>
    </row>
    <row r="1807" spans="1:21" outlineLevel="3">
      <c r="A1807" s="231"/>
      <c r="B1807" s="253">
        <v>51</v>
      </c>
      <c r="C1807" s="162" t="s">
        <v>716</v>
      </c>
      <c r="D1807" s="166"/>
      <c r="E1807" s="169"/>
      <c r="F1807" s="162"/>
      <c r="G1807" s="172">
        <v>295920</v>
      </c>
      <c r="H1807" s="169"/>
      <c r="I1807" s="169"/>
      <c r="J1807" s="169"/>
      <c r="K1807" s="162"/>
      <c r="L1807" s="173"/>
      <c r="M1807" s="230"/>
      <c r="N1807" s="253"/>
      <c r="O1807" s="256"/>
      <c r="P1807" s="162"/>
      <c r="Q1807" s="506"/>
      <c r="R1807" s="515"/>
      <c r="S1807" s="173"/>
      <c r="T1807" s="282" t="s">
        <v>713</v>
      </c>
      <c r="U1807" s="253"/>
    </row>
    <row r="1808" spans="1:21" outlineLevel="3">
      <c r="A1808" s="231"/>
      <c r="B1808" s="253">
        <v>66</v>
      </c>
      <c r="C1808" s="162" t="s">
        <v>717</v>
      </c>
      <c r="D1808" s="166"/>
      <c r="E1808" s="169"/>
      <c r="F1808" s="162"/>
      <c r="G1808" s="172">
        <v>117216</v>
      </c>
      <c r="H1808" s="169"/>
      <c r="I1808" s="169"/>
      <c r="J1808" s="169"/>
      <c r="K1808" s="162"/>
      <c r="L1808" s="173"/>
      <c r="M1808" s="230"/>
      <c r="N1808" s="253"/>
      <c r="O1808" s="256"/>
      <c r="P1808" s="162"/>
      <c r="Q1808" s="506"/>
      <c r="R1808" s="515"/>
      <c r="S1808" s="173"/>
      <c r="T1808" s="282" t="s">
        <v>713</v>
      </c>
      <c r="U1808" s="253"/>
    </row>
    <row r="1809" spans="1:21" outlineLevel="3">
      <c r="A1809" s="231"/>
      <c r="B1809" s="253">
        <v>95</v>
      </c>
      <c r="C1809" s="162" t="s">
        <v>718</v>
      </c>
      <c r="D1809" s="166"/>
      <c r="E1809" s="169"/>
      <c r="F1809" s="162"/>
      <c r="G1809" s="172">
        <v>12816</v>
      </c>
      <c r="H1809" s="169"/>
      <c r="I1809" s="169"/>
      <c r="J1809" s="169"/>
      <c r="K1809" s="162"/>
      <c r="L1809" s="173"/>
      <c r="M1809" s="230"/>
      <c r="N1809" s="253"/>
      <c r="O1809" s="256"/>
      <c r="P1809" s="162"/>
      <c r="Q1809" s="506"/>
      <c r="R1809" s="515"/>
      <c r="S1809" s="173"/>
      <c r="T1809" s="282" t="s">
        <v>713</v>
      </c>
      <c r="U1809" s="253"/>
    </row>
    <row r="1810" spans="1:21" outlineLevel="3">
      <c r="A1810" s="231"/>
      <c r="B1810" s="253">
        <v>78</v>
      </c>
      <c r="C1810" s="162" t="s">
        <v>719</v>
      </c>
      <c r="D1810" s="166"/>
      <c r="E1810" s="169"/>
      <c r="F1810" s="162"/>
      <c r="G1810" s="172">
        <v>39960</v>
      </c>
      <c r="H1810" s="169"/>
      <c r="I1810" s="169"/>
      <c r="J1810" s="169"/>
      <c r="K1810" s="162"/>
      <c r="L1810" s="173"/>
      <c r="M1810" s="230"/>
      <c r="N1810" s="253"/>
      <c r="O1810" s="256"/>
      <c r="P1810" s="162"/>
      <c r="Q1810" s="506"/>
      <c r="R1810" s="515"/>
      <c r="S1810" s="173"/>
      <c r="T1810" s="282" t="s">
        <v>713</v>
      </c>
      <c r="U1810" s="253"/>
    </row>
    <row r="1811" spans="1:21" outlineLevel="3">
      <c r="A1811" s="231"/>
      <c r="B1811" s="253">
        <v>54</v>
      </c>
      <c r="C1811" s="162" t="s">
        <v>720</v>
      </c>
      <c r="D1811" s="166"/>
      <c r="E1811" s="169"/>
      <c r="F1811" s="162"/>
      <c r="G1811" s="172">
        <v>50688</v>
      </c>
      <c r="H1811" s="169"/>
      <c r="I1811" s="169"/>
      <c r="J1811" s="169"/>
      <c r="K1811" s="162"/>
      <c r="L1811" s="173"/>
      <c r="M1811" s="230"/>
      <c r="N1811" s="253"/>
      <c r="O1811" s="256"/>
      <c r="P1811" s="162"/>
      <c r="Q1811" s="506"/>
      <c r="R1811" s="515"/>
      <c r="S1811" s="173"/>
      <c r="T1811" s="282" t="s">
        <v>713</v>
      </c>
      <c r="U1811" s="253"/>
    </row>
    <row r="1812" spans="1:21" outlineLevel="3">
      <c r="A1812" s="231"/>
      <c r="B1812" s="253">
        <v>66</v>
      </c>
      <c r="C1812" s="162" t="s">
        <v>721</v>
      </c>
      <c r="D1812" s="166"/>
      <c r="E1812" s="169"/>
      <c r="F1812" s="162"/>
      <c r="G1812" s="172">
        <v>67392</v>
      </c>
      <c r="H1812" s="169"/>
      <c r="I1812" s="169"/>
      <c r="J1812" s="169"/>
      <c r="K1812" s="162"/>
      <c r="L1812" s="173"/>
      <c r="M1812" s="230"/>
      <c r="N1812" s="253"/>
      <c r="O1812" s="256"/>
      <c r="P1812" s="162"/>
      <c r="Q1812" s="506"/>
      <c r="R1812" s="515"/>
      <c r="S1812" s="173"/>
      <c r="T1812" s="282" t="s">
        <v>713</v>
      </c>
      <c r="U1812" s="253"/>
    </row>
    <row r="1813" spans="1:21" outlineLevel="3">
      <c r="A1813" s="231"/>
      <c r="B1813" s="253">
        <v>89</v>
      </c>
      <c r="C1813" s="162" t="s">
        <v>722</v>
      </c>
      <c r="D1813" s="166"/>
      <c r="E1813" s="169"/>
      <c r="F1813" s="162"/>
      <c r="G1813" s="172">
        <v>75456</v>
      </c>
      <c r="H1813" s="169"/>
      <c r="I1813" s="169"/>
      <c r="J1813" s="169"/>
      <c r="K1813" s="162"/>
      <c r="L1813" s="173"/>
      <c r="M1813" s="230"/>
      <c r="N1813" s="253"/>
      <c r="O1813" s="256"/>
      <c r="P1813" s="162"/>
      <c r="Q1813" s="506"/>
      <c r="R1813" s="515"/>
      <c r="S1813" s="173"/>
      <c r="T1813" s="282" t="s">
        <v>713</v>
      </c>
      <c r="U1813" s="253"/>
    </row>
    <row r="1814" spans="1:21" outlineLevel="3">
      <c r="A1814" s="231"/>
      <c r="B1814" s="285">
        <v>68</v>
      </c>
      <c r="C1814" s="162" t="s">
        <v>723</v>
      </c>
      <c r="D1814" s="166"/>
      <c r="E1814" s="169"/>
      <c r="F1814" s="162"/>
      <c r="G1814" s="172">
        <v>88000</v>
      </c>
      <c r="H1814" s="169"/>
      <c r="I1814" s="169"/>
      <c r="J1814" s="169"/>
      <c r="K1814" s="162"/>
      <c r="L1814" s="173"/>
      <c r="M1814" s="230"/>
      <c r="N1814" s="253"/>
      <c r="O1814" s="256"/>
      <c r="P1814" s="162"/>
      <c r="Q1814" s="506"/>
      <c r="R1814" s="515"/>
      <c r="S1814" s="173"/>
      <c r="T1814" s="282" t="s">
        <v>713</v>
      </c>
      <c r="U1814" s="253"/>
    </row>
    <row r="1815" spans="1:21" outlineLevel="3">
      <c r="A1815" s="231"/>
      <c r="B1815" s="285">
        <v>72</v>
      </c>
      <c r="C1815" s="162" t="s">
        <v>724</v>
      </c>
      <c r="D1815" s="166"/>
      <c r="E1815" s="169"/>
      <c r="F1815" s="162"/>
      <c r="G1815" s="172">
        <v>88000</v>
      </c>
      <c r="H1815" s="169"/>
      <c r="I1815" s="169"/>
      <c r="J1815" s="169"/>
      <c r="K1815" s="162"/>
      <c r="L1815" s="173"/>
      <c r="M1815" s="230"/>
      <c r="N1815" s="253"/>
      <c r="O1815" s="256"/>
      <c r="P1815" s="162"/>
      <c r="Q1815" s="506"/>
      <c r="R1815" s="515"/>
      <c r="S1815" s="173"/>
      <c r="T1815" s="282" t="s">
        <v>713</v>
      </c>
      <c r="U1815" s="253"/>
    </row>
    <row r="1816" spans="1:21" outlineLevel="3">
      <c r="A1816" s="231"/>
      <c r="B1816" s="285">
        <v>57</v>
      </c>
      <c r="C1816" s="162" t="s">
        <v>725</v>
      </c>
      <c r="D1816" s="166"/>
      <c r="E1816" s="169"/>
      <c r="F1816" s="162"/>
      <c r="G1816" s="172">
        <v>183816</v>
      </c>
      <c r="H1816" s="169"/>
      <c r="I1816" s="169"/>
      <c r="J1816" s="169"/>
      <c r="K1816" s="162"/>
      <c r="L1816" s="173"/>
      <c r="M1816" s="230"/>
      <c r="N1816" s="253"/>
      <c r="O1816" s="256"/>
      <c r="P1816" s="162"/>
      <c r="Q1816" s="506"/>
      <c r="R1816" s="515"/>
      <c r="S1816" s="173"/>
      <c r="T1816" s="282" t="s">
        <v>713</v>
      </c>
      <c r="U1816" s="253"/>
    </row>
    <row r="1817" spans="1:21" s="286" customFormat="1" outlineLevel="3">
      <c r="A1817" s="468"/>
      <c r="B1817" s="285">
        <v>54</v>
      </c>
      <c r="C1817" s="283" t="s">
        <v>726</v>
      </c>
      <c r="D1817" s="350"/>
      <c r="E1817" s="237"/>
      <c r="F1817" s="283"/>
      <c r="G1817" s="254">
        <v>534384</v>
      </c>
      <c r="H1817" s="237"/>
      <c r="I1817" s="237"/>
      <c r="J1817" s="237"/>
      <c r="K1817" s="283"/>
      <c r="L1817" s="284"/>
      <c r="M1817" s="509"/>
      <c r="N1817" s="285"/>
      <c r="O1817" s="239"/>
      <c r="P1817" s="283"/>
      <c r="Q1817" s="497"/>
      <c r="R1817" s="518"/>
      <c r="S1817" s="284"/>
      <c r="T1817" s="282" t="s">
        <v>713</v>
      </c>
      <c r="U1817" s="285"/>
    </row>
    <row r="1818" spans="1:21" s="286" customFormat="1" outlineLevel="3">
      <c r="A1818" s="468"/>
      <c r="B1818" s="285"/>
      <c r="C1818" s="384" t="s">
        <v>990</v>
      </c>
      <c r="D1818" s="350"/>
      <c r="E1818" s="237"/>
      <c r="F1818" s="283"/>
      <c r="G1818" s="383">
        <f>SUM(G1804:G1817)</f>
        <v>1916528</v>
      </c>
      <c r="H1818" s="237"/>
      <c r="I1818" s="237"/>
      <c r="J1818" s="237"/>
      <c r="K1818" s="283"/>
      <c r="L1818" s="284"/>
      <c r="M1818" s="509"/>
      <c r="N1818" s="285"/>
      <c r="O1818" s="239"/>
      <c r="P1818" s="283"/>
      <c r="Q1818" s="497"/>
      <c r="R1818" s="518"/>
      <c r="S1818" s="284"/>
      <c r="T1818" s="282"/>
      <c r="U1818" s="285"/>
    </row>
    <row r="1819" spans="1:21" s="286" customFormat="1" outlineLevel="3">
      <c r="A1819" s="468"/>
      <c r="B1819" s="285">
        <v>50</v>
      </c>
      <c r="C1819" s="283" t="s">
        <v>727</v>
      </c>
      <c r="D1819" s="350"/>
      <c r="E1819" s="237"/>
      <c r="F1819" s="283"/>
      <c r="G1819" s="254">
        <v>161496</v>
      </c>
      <c r="H1819" s="237"/>
      <c r="I1819" s="237"/>
      <c r="J1819" s="237"/>
      <c r="K1819" s="283"/>
      <c r="L1819" s="284" t="s">
        <v>514</v>
      </c>
      <c r="M1819" s="509"/>
      <c r="N1819" s="285"/>
      <c r="O1819" s="239"/>
      <c r="P1819" s="283"/>
      <c r="Q1819" s="497"/>
      <c r="R1819" s="518"/>
      <c r="S1819" s="284"/>
      <c r="T1819" s="381"/>
      <c r="U1819" s="285"/>
    </row>
    <row r="1820" spans="1:21" s="286" customFormat="1" outlineLevel="3">
      <c r="A1820" s="468"/>
      <c r="B1820" s="285">
        <v>52</v>
      </c>
      <c r="C1820" s="283" t="s">
        <v>728</v>
      </c>
      <c r="D1820" s="350"/>
      <c r="E1820" s="237"/>
      <c r="F1820" s="283"/>
      <c r="G1820" s="254">
        <v>112320</v>
      </c>
      <c r="H1820" s="237"/>
      <c r="I1820" s="237"/>
      <c r="J1820" s="237"/>
      <c r="K1820" s="283"/>
      <c r="L1820" s="284"/>
      <c r="M1820" s="509"/>
      <c r="N1820" s="285"/>
      <c r="O1820" s="239"/>
      <c r="P1820" s="283"/>
      <c r="Q1820" s="497"/>
      <c r="R1820" s="518"/>
      <c r="S1820" s="284"/>
      <c r="T1820" s="381"/>
      <c r="U1820" s="285"/>
    </row>
    <row r="1821" spans="1:21" s="286" customFormat="1" outlineLevel="3">
      <c r="A1821" s="468"/>
      <c r="B1821" s="285">
        <v>52</v>
      </c>
      <c r="C1821" s="283" t="s">
        <v>729</v>
      </c>
      <c r="D1821" s="350"/>
      <c r="E1821" s="237"/>
      <c r="F1821" s="283"/>
      <c r="G1821" s="254">
        <v>41832</v>
      </c>
      <c r="H1821" s="237"/>
      <c r="I1821" s="237"/>
      <c r="J1821" s="237"/>
      <c r="K1821" s="283"/>
      <c r="L1821" s="284"/>
      <c r="M1821" s="509"/>
      <c r="N1821" s="285"/>
      <c r="O1821" s="239"/>
      <c r="P1821" s="283"/>
      <c r="Q1821" s="497"/>
      <c r="R1821" s="518"/>
      <c r="S1821" s="284"/>
      <c r="T1821" s="381"/>
      <c r="U1821" s="285"/>
    </row>
    <row r="1822" spans="1:21" s="286" customFormat="1" outlineLevel="3">
      <c r="A1822" s="468"/>
      <c r="B1822" s="285">
        <v>53</v>
      </c>
      <c r="C1822" s="283" t="s">
        <v>730</v>
      </c>
      <c r="D1822" s="350"/>
      <c r="E1822" s="237"/>
      <c r="F1822" s="283"/>
      <c r="G1822" s="254">
        <v>234576</v>
      </c>
      <c r="H1822" s="237"/>
      <c r="I1822" s="237"/>
      <c r="J1822" s="237"/>
      <c r="K1822" s="283"/>
      <c r="L1822" s="284"/>
      <c r="M1822" s="509"/>
      <c r="N1822" s="285"/>
      <c r="O1822" s="239"/>
      <c r="P1822" s="283"/>
      <c r="Q1822" s="497"/>
      <c r="R1822" s="518"/>
      <c r="S1822" s="284"/>
      <c r="T1822" s="381"/>
      <c r="U1822" s="285"/>
    </row>
    <row r="1823" spans="1:21" s="286" customFormat="1" outlineLevel="3">
      <c r="A1823" s="468"/>
      <c r="B1823" s="285">
        <v>51</v>
      </c>
      <c r="C1823" s="283" t="s">
        <v>731</v>
      </c>
      <c r="D1823" s="350"/>
      <c r="E1823" s="237"/>
      <c r="F1823" s="283"/>
      <c r="G1823" s="254">
        <v>77760</v>
      </c>
      <c r="H1823" s="237"/>
      <c r="I1823" s="237"/>
      <c r="J1823" s="237"/>
      <c r="K1823" s="283"/>
      <c r="L1823" s="284"/>
      <c r="M1823" s="509"/>
      <c r="N1823" s="285"/>
      <c r="O1823" s="239"/>
      <c r="P1823" s="283"/>
      <c r="Q1823" s="497"/>
      <c r="R1823" s="518"/>
      <c r="S1823" s="284"/>
      <c r="T1823" s="381"/>
      <c r="U1823" s="285"/>
    </row>
    <row r="1824" spans="1:21" s="286" customFormat="1" outlineLevel="3">
      <c r="A1824" s="468"/>
      <c r="B1824" s="285">
        <v>57</v>
      </c>
      <c r="C1824" s="283" t="s">
        <v>732</v>
      </c>
      <c r="D1824" s="350"/>
      <c r="E1824" s="237"/>
      <c r="F1824" s="283"/>
      <c r="G1824" s="254">
        <v>50400</v>
      </c>
      <c r="H1824" s="237"/>
      <c r="I1824" s="237"/>
      <c r="J1824" s="237"/>
      <c r="K1824" s="283"/>
      <c r="L1824" s="284"/>
      <c r="M1824" s="509"/>
      <c r="N1824" s="285"/>
      <c r="O1824" s="239"/>
      <c r="P1824" s="283"/>
      <c r="Q1824" s="497"/>
      <c r="R1824" s="518"/>
      <c r="S1824" s="284"/>
      <c r="T1824" s="381"/>
      <c r="U1824" s="285"/>
    </row>
    <row r="1825" spans="1:21" s="286" customFormat="1" outlineLevel="3">
      <c r="A1825" s="468"/>
      <c r="B1825" s="285">
        <v>46</v>
      </c>
      <c r="C1825" s="283" t="s">
        <v>733</v>
      </c>
      <c r="D1825" s="350"/>
      <c r="E1825" s="237"/>
      <c r="F1825" s="283"/>
      <c r="G1825" s="254">
        <v>32328</v>
      </c>
      <c r="H1825" s="237"/>
      <c r="I1825" s="237"/>
      <c r="J1825" s="237"/>
      <c r="K1825" s="283"/>
      <c r="L1825" s="284"/>
      <c r="M1825" s="509"/>
      <c r="N1825" s="285"/>
      <c r="O1825" s="239"/>
      <c r="P1825" s="283"/>
      <c r="Q1825" s="497"/>
      <c r="R1825" s="518"/>
      <c r="S1825" s="284"/>
      <c r="T1825" s="381"/>
      <c r="U1825" s="285"/>
    </row>
    <row r="1826" spans="1:21" s="286" customFormat="1" outlineLevel="3">
      <c r="A1826" s="468"/>
      <c r="B1826" s="285"/>
      <c r="C1826" s="384" t="s">
        <v>1132</v>
      </c>
      <c r="D1826" s="350"/>
      <c r="E1826" s="237"/>
      <c r="F1826" s="283"/>
      <c r="G1826" s="383">
        <f>SUM(G1819:G1825)</f>
        <v>710712</v>
      </c>
      <c r="H1826" s="237"/>
      <c r="I1826" s="237"/>
      <c r="J1826" s="237"/>
      <c r="K1826" s="283"/>
      <c r="L1826" s="284"/>
      <c r="M1826" s="509"/>
      <c r="N1826" s="285"/>
      <c r="O1826" s="239"/>
      <c r="P1826" s="283"/>
      <c r="Q1826" s="497"/>
      <c r="R1826" s="518"/>
      <c r="S1826" s="284"/>
      <c r="T1826" s="381"/>
      <c r="U1826" s="285"/>
    </row>
    <row r="1827" spans="1:21" s="286" customFormat="1" outlineLevel="2">
      <c r="A1827" s="468"/>
      <c r="B1827" s="285"/>
      <c r="C1827" s="382" t="s">
        <v>986</v>
      </c>
      <c r="D1827" s="350"/>
      <c r="E1827" s="237"/>
      <c r="F1827" s="283"/>
      <c r="G1827" s="383">
        <f>SUM(G1818,G1826)</f>
        <v>2627240</v>
      </c>
      <c r="H1827" s="237"/>
      <c r="I1827" s="237"/>
      <c r="J1827" s="237"/>
      <c r="K1827" s="283"/>
      <c r="L1827" s="284"/>
      <c r="M1827" s="509"/>
      <c r="N1827" s="285"/>
      <c r="O1827" s="239"/>
      <c r="P1827" s="283"/>
      <c r="Q1827" s="497"/>
      <c r="R1827" s="518"/>
      <c r="S1827" s="284"/>
      <c r="T1827" s="381"/>
      <c r="U1827" s="285"/>
    </row>
    <row r="1828" spans="1:21" outlineLevel="3">
      <c r="A1828" s="231"/>
      <c r="B1828" s="253">
        <v>68</v>
      </c>
      <c r="C1828" s="162" t="s">
        <v>734</v>
      </c>
      <c r="D1828" s="166"/>
      <c r="E1828" s="169"/>
      <c r="F1828" s="162"/>
      <c r="G1828" s="172"/>
      <c r="H1828" s="164">
        <v>360000</v>
      </c>
      <c r="I1828" s="169"/>
      <c r="J1828" s="169"/>
      <c r="K1828" s="162"/>
      <c r="L1828" s="173"/>
      <c r="M1828" s="230"/>
      <c r="N1828" s="253"/>
      <c r="O1828" s="256"/>
      <c r="P1828" s="162"/>
      <c r="Q1828" s="506"/>
      <c r="R1828" s="515"/>
      <c r="S1828" s="173"/>
      <c r="T1828" s="282"/>
      <c r="U1828" s="253"/>
    </row>
    <row r="1829" spans="1:21" outlineLevel="3">
      <c r="A1829" s="231"/>
      <c r="B1829" s="253">
        <v>56</v>
      </c>
      <c r="C1829" s="162" t="s">
        <v>735</v>
      </c>
      <c r="D1829" s="166"/>
      <c r="E1829" s="169"/>
      <c r="F1829" s="162"/>
      <c r="G1829" s="166"/>
      <c r="H1829" s="164">
        <v>152280</v>
      </c>
      <c r="I1829" s="169"/>
      <c r="J1829" s="169"/>
      <c r="K1829" s="162"/>
      <c r="L1829" s="173"/>
      <c r="M1829" s="230"/>
      <c r="N1829" s="253"/>
      <c r="O1829" s="256"/>
      <c r="P1829" s="162"/>
      <c r="Q1829" s="506"/>
      <c r="R1829" s="515"/>
      <c r="S1829" s="173"/>
      <c r="T1829" s="282"/>
      <c r="U1829" s="253"/>
    </row>
    <row r="1830" spans="1:21" outlineLevel="3">
      <c r="A1830" s="231"/>
      <c r="B1830" s="253">
        <v>55</v>
      </c>
      <c r="C1830" s="162" t="s">
        <v>736</v>
      </c>
      <c r="D1830" s="166"/>
      <c r="E1830" s="169"/>
      <c r="F1830" s="162"/>
      <c r="G1830" s="166"/>
      <c r="H1830" s="164">
        <v>40032</v>
      </c>
      <c r="I1830" s="169"/>
      <c r="J1830" s="169"/>
      <c r="K1830" s="162"/>
      <c r="L1830" s="173"/>
      <c r="M1830" s="230"/>
      <c r="N1830" s="253"/>
      <c r="O1830" s="256"/>
      <c r="P1830" s="162"/>
      <c r="Q1830" s="506"/>
      <c r="R1830" s="515"/>
      <c r="S1830" s="173"/>
      <c r="T1830" s="282"/>
      <c r="U1830" s="253"/>
    </row>
    <row r="1831" spans="1:21" outlineLevel="3">
      <c r="A1831" s="231"/>
      <c r="B1831" s="253">
        <v>78</v>
      </c>
      <c r="C1831" s="162" t="s">
        <v>737</v>
      </c>
      <c r="D1831" s="166"/>
      <c r="E1831" s="169"/>
      <c r="F1831" s="162"/>
      <c r="G1831" s="166"/>
      <c r="H1831" s="164">
        <v>111312</v>
      </c>
      <c r="I1831" s="169"/>
      <c r="J1831" s="169"/>
      <c r="K1831" s="162"/>
      <c r="L1831" s="173"/>
      <c r="M1831" s="230"/>
      <c r="N1831" s="253"/>
      <c r="O1831" s="256"/>
      <c r="P1831" s="162"/>
      <c r="Q1831" s="506"/>
      <c r="R1831" s="515"/>
      <c r="S1831" s="173"/>
      <c r="T1831" s="282"/>
      <c r="U1831" s="253"/>
    </row>
    <row r="1832" spans="1:21" outlineLevel="3">
      <c r="A1832" s="231"/>
      <c r="B1832" s="253">
        <v>70</v>
      </c>
      <c r="C1832" s="162" t="s">
        <v>738</v>
      </c>
      <c r="D1832" s="166"/>
      <c r="E1832" s="169"/>
      <c r="F1832" s="162"/>
      <c r="G1832" s="166"/>
      <c r="H1832" s="164">
        <v>322992</v>
      </c>
      <c r="I1832" s="169"/>
      <c r="J1832" s="169"/>
      <c r="K1832" s="162"/>
      <c r="L1832" s="173"/>
      <c r="M1832" s="230"/>
      <c r="N1832" s="253"/>
      <c r="O1832" s="256"/>
      <c r="P1832" s="162"/>
      <c r="Q1832" s="506"/>
      <c r="R1832" s="515"/>
      <c r="S1832" s="173"/>
      <c r="T1832" s="282"/>
      <c r="U1832" s="253"/>
    </row>
    <row r="1833" spans="1:21" outlineLevel="3">
      <c r="A1833" s="231"/>
      <c r="B1833" s="253">
        <v>53</v>
      </c>
      <c r="C1833" s="162" t="s">
        <v>739</v>
      </c>
      <c r="D1833" s="166"/>
      <c r="E1833" s="169"/>
      <c r="F1833" s="162"/>
      <c r="G1833" s="166"/>
      <c r="H1833" s="164">
        <v>40646</v>
      </c>
      <c r="I1833" s="169"/>
      <c r="J1833" s="169"/>
      <c r="K1833" s="162"/>
      <c r="L1833" s="173"/>
      <c r="M1833" s="230"/>
      <c r="N1833" s="253"/>
      <c r="O1833" s="256"/>
      <c r="P1833" s="162"/>
      <c r="Q1833" s="506"/>
      <c r="R1833" s="515"/>
      <c r="S1833" s="173"/>
      <c r="T1833" s="282"/>
      <c r="U1833" s="253"/>
    </row>
    <row r="1834" spans="1:21" outlineLevel="3">
      <c r="A1834" s="231"/>
      <c r="B1834" s="253">
        <v>43</v>
      </c>
      <c r="C1834" s="162" t="s">
        <v>740</v>
      </c>
      <c r="D1834" s="166"/>
      <c r="E1834" s="169"/>
      <c r="F1834" s="162"/>
      <c r="G1834" s="166"/>
      <c r="H1834" s="164">
        <v>57024</v>
      </c>
      <c r="I1834" s="169"/>
      <c r="J1834" s="169"/>
      <c r="K1834" s="162"/>
      <c r="L1834" s="173"/>
      <c r="M1834" s="230"/>
      <c r="N1834" s="253"/>
      <c r="O1834" s="256"/>
      <c r="P1834" s="162"/>
      <c r="Q1834" s="506"/>
      <c r="R1834" s="515"/>
      <c r="S1834" s="173"/>
      <c r="T1834" s="282"/>
      <c r="U1834" s="253"/>
    </row>
    <row r="1835" spans="1:21" outlineLevel="3">
      <c r="A1835" s="231"/>
      <c r="B1835" s="253">
        <v>56</v>
      </c>
      <c r="C1835" s="162" t="s">
        <v>741</v>
      </c>
      <c r="D1835" s="166"/>
      <c r="E1835" s="169"/>
      <c r="F1835" s="162"/>
      <c r="G1835" s="166"/>
      <c r="H1835" s="164">
        <v>214272</v>
      </c>
      <c r="I1835" s="169"/>
      <c r="J1835" s="169"/>
      <c r="K1835" s="162"/>
      <c r="L1835" s="173"/>
      <c r="M1835" s="230"/>
      <c r="N1835" s="253"/>
      <c r="O1835" s="256"/>
      <c r="P1835" s="162"/>
      <c r="Q1835" s="506"/>
      <c r="R1835" s="515"/>
      <c r="S1835" s="173"/>
      <c r="T1835" s="282"/>
      <c r="U1835" s="253"/>
    </row>
    <row r="1836" spans="1:21" outlineLevel="3">
      <c r="A1836" s="231"/>
      <c r="B1836" s="253">
        <v>55</v>
      </c>
      <c r="C1836" s="162" t="s">
        <v>743</v>
      </c>
      <c r="D1836" s="166"/>
      <c r="E1836" s="169"/>
      <c r="F1836" s="162"/>
      <c r="G1836" s="166"/>
      <c r="H1836" s="164">
        <v>205200</v>
      </c>
      <c r="I1836" s="169"/>
      <c r="J1836" s="169"/>
      <c r="K1836" s="162"/>
      <c r="L1836" s="173"/>
      <c r="M1836" s="230"/>
      <c r="N1836" s="253"/>
      <c r="O1836" s="256"/>
      <c r="P1836" s="162"/>
      <c r="Q1836" s="506"/>
      <c r="R1836" s="515"/>
      <c r="S1836" s="173"/>
      <c r="T1836" s="282"/>
      <c r="U1836" s="253"/>
    </row>
    <row r="1837" spans="1:21" outlineLevel="3">
      <c r="A1837" s="231"/>
      <c r="B1837" s="253">
        <v>52</v>
      </c>
      <c r="C1837" s="162" t="s">
        <v>744</v>
      </c>
      <c r="D1837" s="166"/>
      <c r="E1837" s="169"/>
      <c r="F1837" s="162"/>
      <c r="G1837" s="166"/>
      <c r="H1837" s="164">
        <v>151200</v>
      </c>
      <c r="I1837" s="169"/>
      <c r="J1837" s="169"/>
      <c r="K1837" s="162"/>
      <c r="L1837" s="173"/>
      <c r="M1837" s="230"/>
      <c r="N1837" s="253"/>
      <c r="O1837" s="256"/>
      <c r="P1837" s="162"/>
      <c r="Q1837" s="506"/>
      <c r="R1837" s="515"/>
      <c r="S1837" s="173"/>
      <c r="T1837" s="282"/>
      <c r="U1837" s="253"/>
    </row>
    <row r="1838" spans="1:21" outlineLevel="3">
      <c r="A1838" s="231"/>
      <c r="B1838" s="253">
        <v>57</v>
      </c>
      <c r="C1838" s="162" t="s">
        <v>745</v>
      </c>
      <c r="D1838" s="166"/>
      <c r="E1838" s="169"/>
      <c r="F1838" s="162"/>
      <c r="G1838" s="166"/>
      <c r="H1838" s="164">
        <v>259200</v>
      </c>
      <c r="I1838" s="169"/>
      <c r="J1838" s="169"/>
      <c r="K1838" s="162"/>
      <c r="L1838" s="173"/>
      <c r="M1838" s="230"/>
      <c r="N1838" s="253"/>
      <c r="O1838" s="256"/>
      <c r="P1838" s="162"/>
      <c r="Q1838" s="506"/>
      <c r="R1838" s="515"/>
      <c r="S1838" s="173"/>
      <c r="T1838" s="282"/>
      <c r="U1838" s="253"/>
    </row>
    <row r="1839" spans="1:21" outlineLevel="3">
      <c r="A1839" s="231"/>
      <c r="B1839" s="253">
        <v>79</v>
      </c>
      <c r="C1839" s="162" t="s">
        <v>746</v>
      </c>
      <c r="D1839" s="166"/>
      <c r="E1839" s="169"/>
      <c r="F1839" s="162"/>
      <c r="G1839" s="166"/>
      <c r="H1839" s="164">
        <v>326880</v>
      </c>
      <c r="I1839" s="169"/>
      <c r="J1839" s="169"/>
      <c r="K1839" s="162"/>
      <c r="L1839" s="173"/>
      <c r="M1839" s="230"/>
      <c r="N1839" s="253"/>
      <c r="O1839" s="256"/>
      <c r="P1839" s="162"/>
      <c r="Q1839" s="506"/>
      <c r="R1839" s="515"/>
      <c r="S1839" s="173"/>
      <c r="T1839" s="282"/>
      <c r="U1839" s="253"/>
    </row>
    <row r="1840" spans="1:21" outlineLevel="3">
      <c r="A1840" s="231"/>
      <c r="B1840" s="253"/>
      <c r="C1840" s="384" t="s">
        <v>990</v>
      </c>
      <c r="D1840" s="166"/>
      <c r="E1840" s="169"/>
      <c r="F1840" s="162"/>
      <c r="G1840" s="166"/>
      <c r="H1840" s="244">
        <f>SUM(H1828:H1839)</f>
        <v>2241038</v>
      </c>
      <c r="I1840" s="169"/>
      <c r="J1840" s="169"/>
      <c r="K1840" s="162"/>
      <c r="L1840" s="173"/>
      <c r="M1840" s="230"/>
      <c r="N1840" s="253"/>
      <c r="O1840" s="256"/>
      <c r="P1840" s="162"/>
      <c r="Q1840" s="506"/>
      <c r="R1840" s="515"/>
      <c r="S1840" s="173"/>
      <c r="T1840" s="282"/>
      <c r="U1840" s="253"/>
    </row>
    <row r="1841" spans="1:21" s="286" customFormat="1" outlineLevel="3">
      <c r="A1841" s="468"/>
      <c r="B1841" s="285">
        <v>53</v>
      </c>
      <c r="C1841" s="283" t="s">
        <v>747</v>
      </c>
      <c r="D1841" s="350"/>
      <c r="E1841" s="237"/>
      <c r="F1841" s="283"/>
      <c r="G1841" s="350"/>
      <c r="H1841" s="219">
        <v>101232</v>
      </c>
      <c r="I1841" s="237"/>
      <c r="J1841" s="237"/>
      <c r="K1841" s="283"/>
      <c r="L1841" s="284"/>
      <c r="M1841" s="509"/>
      <c r="N1841" s="285"/>
      <c r="O1841" s="239"/>
      <c r="P1841" s="283"/>
      <c r="Q1841" s="497"/>
      <c r="R1841" s="518"/>
      <c r="S1841" s="284"/>
      <c r="T1841" s="381"/>
      <c r="U1841" s="285"/>
    </row>
    <row r="1842" spans="1:21" s="286" customFormat="1" outlineLevel="3">
      <c r="A1842" s="468"/>
      <c r="B1842" s="285">
        <v>57</v>
      </c>
      <c r="C1842" s="283" t="s">
        <v>748</v>
      </c>
      <c r="D1842" s="350"/>
      <c r="E1842" s="237"/>
      <c r="F1842" s="283"/>
      <c r="G1842" s="350"/>
      <c r="H1842" s="219">
        <v>22752</v>
      </c>
      <c r="I1842" s="237"/>
      <c r="J1842" s="237"/>
      <c r="K1842" s="283"/>
      <c r="L1842" s="284"/>
      <c r="M1842" s="509"/>
      <c r="N1842" s="285"/>
      <c r="O1842" s="239"/>
      <c r="P1842" s="283"/>
      <c r="Q1842" s="497"/>
      <c r="R1842" s="518"/>
      <c r="S1842" s="284"/>
      <c r="T1842" s="381"/>
      <c r="U1842" s="285"/>
    </row>
    <row r="1843" spans="1:21" s="286" customFormat="1" outlineLevel="3">
      <c r="A1843" s="382"/>
      <c r="B1843" s="285">
        <v>62</v>
      </c>
      <c r="C1843" s="283" t="s">
        <v>749</v>
      </c>
      <c r="D1843" s="350"/>
      <c r="E1843" s="237"/>
      <c r="F1843" s="283"/>
      <c r="G1843" s="350"/>
      <c r="H1843" s="219">
        <v>117360</v>
      </c>
      <c r="I1843" s="237"/>
      <c r="J1843" s="237"/>
      <c r="K1843" s="283"/>
      <c r="L1843" s="284"/>
      <c r="M1843" s="509"/>
      <c r="N1843" s="285"/>
      <c r="O1843" s="239"/>
      <c r="P1843" s="283"/>
      <c r="Q1843" s="497"/>
      <c r="R1843" s="518"/>
      <c r="S1843" s="284"/>
      <c r="T1843" s="381"/>
      <c r="U1843" s="559"/>
    </row>
    <row r="1844" spans="1:21" s="286" customFormat="1" outlineLevel="3">
      <c r="A1844" s="468"/>
      <c r="B1844" s="285">
        <v>65</v>
      </c>
      <c r="C1844" s="283" t="s">
        <v>750</v>
      </c>
      <c r="D1844" s="350"/>
      <c r="E1844" s="237"/>
      <c r="F1844" s="283"/>
      <c r="G1844" s="350"/>
      <c r="H1844" s="219">
        <v>60984</v>
      </c>
      <c r="I1844" s="237"/>
      <c r="J1844" s="237"/>
      <c r="K1844" s="283"/>
      <c r="L1844" s="284" t="s">
        <v>514</v>
      </c>
      <c r="M1844" s="509"/>
      <c r="N1844" s="285"/>
      <c r="O1844" s="239"/>
      <c r="P1844" s="283"/>
      <c r="Q1844" s="497"/>
      <c r="R1844" s="518"/>
      <c r="S1844" s="284"/>
      <c r="T1844" s="381"/>
      <c r="U1844" s="285"/>
    </row>
    <row r="1845" spans="1:21" s="286" customFormat="1" outlineLevel="3">
      <c r="A1845" s="468"/>
      <c r="B1845" s="285">
        <v>55</v>
      </c>
      <c r="C1845" s="283" t="s">
        <v>751</v>
      </c>
      <c r="D1845" s="350"/>
      <c r="E1845" s="237"/>
      <c r="F1845" s="283"/>
      <c r="G1845" s="350"/>
      <c r="H1845" s="219">
        <v>131760</v>
      </c>
      <c r="I1845" s="237"/>
      <c r="J1845" s="237"/>
      <c r="K1845" s="283" t="s">
        <v>514</v>
      </c>
      <c r="L1845" s="284"/>
      <c r="M1845" s="509"/>
      <c r="N1845" s="285"/>
      <c r="O1845" s="239"/>
      <c r="P1845" s="283"/>
      <c r="Q1845" s="497"/>
      <c r="R1845" s="518"/>
      <c r="S1845" s="284"/>
      <c r="T1845" s="381"/>
      <c r="U1845" s="285"/>
    </row>
    <row r="1846" spans="1:21" s="286" customFormat="1" outlineLevel="3">
      <c r="A1846" s="468"/>
      <c r="B1846" s="285">
        <v>87</v>
      </c>
      <c r="C1846" s="283" t="s">
        <v>752</v>
      </c>
      <c r="D1846" s="350"/>
      <c r="E1846" s="237"/>
      <c r="F1846" s="283"/>
      <c r="G1846" s="350"/>
      <c r="H1846" s="219">
        <v>90720</v>
      </c>
      <c r="I1846" s="237"/>
      <c r="J1846" s="237"/>
      <c r="K1846" s="283"/>
      <c r="L1846" s="284"/>
      <c r="M1846" s="509"/>
      <c r="N1846" s="285"/>
      <c r="O1846" s="239"/>
      <c r="P1846" s="283"/>
      <c r="Q1846" s="497"/>
      <c r="R1846" s="518"/>
      <c r="S1846" s="284"/>
      <c r="T1846" s="381"/>
      <c r="U1846" s="285"/>
    </row>
    <row r="1847" spans="1:21" s="286" customFormat="1" outlineLevel="3">
      <c r="A1847" s="468"/>
      <c r="B1847" s="616">
        <v>86</v>
      </c>
      <c r="C1847" s="617" t="s">
        <v>742</v>
      </c>
      <c r="D1847" s="350"/>
      <c r="E1847" s="237"/>
      <c r="F1847" s="283"/>
      <c r="G1847" s="350"/>
      <c r="H1847" s="219">
        <v>75000</v>
      </c>
      <c r="I1847" s="237"/>
      <c r="J1847" s="237"/>
      <c r="K1847" s="283"/>
      <c r="L1847" s="284"/>
      <c r="M1847" s="509"/>
      <c r="N1847" s="285"/>
      <c r="O1847" s="239"/>
      <c r="P1847" s="283"/>
      <c r="Q1847" s="497"/>
      <c r="R1847" s="518"/>
      <c r="S1847" s="284"/>
      <c r="T1847" s="381"/>
      <c r="U1847" s="285"/>
    </row>
    <row r="1848" spans="1:21" s="286" customFormat="1" outlineLevel="3">
      <c r="A1848" s="468"/>
      <c r="B1848" s="285">
        <v>76</v>
      </c>
      <c r="C1848" s="283" t="s">
        <v>1138</v>
      </c>
      <c r="D1848" s="350"/>
      <c r="E1848" s="237"/>
      <c r="F1848" s="283"/>
      <c r="G1848" s="350"/>
      <c r="H1848" s="219">
        <v>191304</v>
      </c>
      <c r="I1848" s="237"/>
      <c r="J1848" s="237"/>
      <c r="K1848" s="283"/>
      <c r="L1848" s="284"/>
      <c r="M1848" s="509"/>
      <c r="N1848" s="285"/>
      <c r="O1848" s="239"/>
      <c r="P1848" s="283"/>
      <c r="Q1848" s="497"/>
      <c r="R1848" s="518"/>
      <c r="S1848" s="284"/>
      <c r="T1848" s="381"/>
      <c r="U1848" s="285"/>
    </row>
    <row r="1849" spans="1:21" s="286" customFormat="1" outlineLevel="3">
      <c r="A1849" s="468"/>
      <c r="B1849" s="285"/>
      <c r="C1849" s="384" t="s">
        <v>1132</v>
      </c>
      <c r="D1849" s="350"/>
      <c r="E1849" s="237"/>
      <c r="F1849" s="283"/>
      <c r="G1849" s="350"/>
      <c r="H1849" s="251">
        <f>SUM(H1841:H1848)</f>
        <v>791112</v>
      </c>
      <c r="I1849" s="237"/>
      <c r="J1849" s="237"/>
      <c r="K1849" s="283"/>
      <c r="L1849" s="284"/>
      <c r="M1849" s="509"/>
      <c r="N1849" s="285"/>
      <c r="O1849" s="239"/>
      <c r="P1849" s="283"/>
      <c r="Q1849" s="497"/>
      <c r="R1849" s="518"/>
      <c r="S1849" s="284"/>
      <c r="T1849" s="381"/>
      <c r="U1849" s="285"/>
    </row>
    <row r="1850" spans="1:21" s="286" customFormat="1" outlineLevel="2">
      <c r="A1850" s="468"/>
      <c r="B1850" s="285"/>
      <c r="C1850" s="382" t="s">
        <v>987</v>
      </c>
      <c r="D1850" s="350"/>
      <c r="E1850" s="237"/>
      <c r="F1850" s="283"/>
      <c r="G1850" s="350"/>
      <c r="H1850" s="251">
        <f>SUM(H1840,H1849)</f>
        <v>3032150</v>
      </c>
      <c r="I1850" s="237"/>
      <c r="J1850" s="237"/>
      <c r="K1850" s="283"/>
      <c r="L1850" s="394"/>
      <c r="M1850" s="509"/>
      <c r="N1850" s="285"/>
      <c r="O1850" s="239"/>
      <c r="P1850" s="283"/>
      <c r="Q1850" s="497"/>
      <c r="R1850" s="518"/>
      <c r="S1850" s="284"/>
      <c r="T1850" s="381"/>
      <c r="U1850" s="285"/>
    </row>
    <row r="1851" spans="1:21" outlineLevel="3">
      <c r="A1851" s="231"/>
      <c r="B1851" s="253">
        <v>74</v>
      </c>
      <c r="C1851" s="162" t="s">
        <v>753</v>
      </c>
      <c r="D1851" s="166"/>
      <c r="E1851" s="169"/>
      <c r="F1851" s="162"/>
      <c r="G1851" s="166"/>
      <c r="H1851" s="169"/>
      <c r="I1851" s="164">
        <v>494064</v>
      </c>
      <c r="J1851" s="169"/>
      <c r="K1851" s="162"/>
      <c r="L1851" s="245"/>
      <c r="M1851" s="230"/>
      <c r="N1851" s="253"/>
      <c r="O1851" s="256"/>
      <c r="P1851" s="162"/>
      <c r="Q1851" s="506"/>
      <c r="R1851" s="515"/>
      <c r="S1851" s="173"/>
      <c r="T1851" s="282" t="s">
        <v>713</v>
      </c>
      <c r="U1851" s="253"/>
    </row>
    <row r="1852" spans="1:21" outlineLevel="3">
      <c r="A1852" s="231"/>
      <c r="B1852" s="253">
        <v>67</v>
      </c>
      <c r="C1852" s="162" t="s">
        <v>754</v>
      </c>
      <c r="D1852" s="166"/>
      <c r="E1852" s="169"/>
      <c r="F1852" s="162"/>
      <c r="G1852" s="166"/>
      <c r="H1852" s="169"/>
      <c r="I1852" s="164">
        <v>460800</v>
      </c>
      <c r="J1852" s="169"/>
      <c r="K1852" s="162"/>
      <c r="L1852" s="245"/>
      <c r="M1852" s="230"/>
      <c r="N1852" s="253"/>
      <c r="O1852" s="256"/>
      <c r="P1852" s="162"/>
      <c r="Q1852" s="506"/>
      <c r="R1852" s="515"/>
      <c r="S1852" s="173"/>
      <c r="T1852" s="282" t="s">
        <v>713</v>
      </c>
      <c r="U1852" s="253"/>
    </row>
    <row r="1853" spans="1:21" outlineLevel="3">
      <c r="A1853" s="231"/>
      <c r="B1853" s="253">
        <v>57</v>
      </c>
      <c r="C1853" s="162" t="s">
        <v>725</v>
      </c>
      <c r="D1853" s="166"/>
      <c r="E1853" s="169"/>
      <c r="F1853" s="162"/>
      <c r="G1853" s="166"/>
      <c r="H1853" s="169"/>
      <c r="I1853" s="164">
        <v>183816</v>
      </c>
      <c r="J1853" s="169"/>
      <c r="K1853" s="162"/>
      <c r="L1853" s="245"/>
      <c r="M1853" s="230"/>
      <c r="N1853" s="253"/>
      <c r="O1853" s="256"/>
      <c r="P1853" s="162"/>
      <c r="Q1853" s="506"/>
      <c r="R1853" s="515"/>
      <c r="S1853" s="173"/>
      <c r="T1853" s="282" t="s">
        <v>713</v>
      </c>
      <c r="U1853" s="253"/>
    </row>
    <row r="1854" spans="1:21" outlineLevel="3">
      <c r="A1854" s="231"/>
      <c r="B1854" s="253">
        <v>87</v>
      </c>
      <c r="C1854" s="162" t="s">
        <v>755</v>
      </c>
      <c r="D1854" s="166"/>
      <c r="E1854" s="169"/>
      <c r="F1854" s="162"/>
      <c r="G1854" s="166"/>
      <c r="H1854" s="169"/>
      <c r="I1854" s="164">
        <v>207072</v>
      </c>
      <c r="J1854" s="169"/>
      <c r="K1854" s="162"/>
      <c r="L1854" s="245"/>
      <c r="M1854" s="230"/>
      <c r="N1854" s="253"/>
      <c r="O1854" s="256"/>
      <c r="P1854" s="162"/>
      <c r="Q1854" s="506"/>
      <c r="R1854" s="515"/>
      <c r="S1854" s="173"/>
      <c r="T1854" s="282" t="s">
        <v>713</v>
      </c>
      <c r="U1854" s="253"/>
    </row>
    <row r="1855" spans="1:21" outlineLevel="3">
      <c r="A1855" s="231"/>
      <c r="B1855" s="253">
        <v>54</v>
      </c>
      <c r="C1855" s="162" t="s">
        <v>756</v>
      </c>
      <c r="D1855" s="166"/>
      <c r="E1855" s="169"/>
      <c r="F1855" s="162"/>
      <c r="G1855" s="166"/>
      <c r="H1855" s="169"/>
      <c r="I1855" s="164">
        <v>226008</v>
      </c>
      <c r="J1855" s="169"/>
      <c r="K1855" s="162"/>
      <c r="L1855" s="245"/>
      <c r="M1855" s="230"/>
      <c r="N1855" s="253"/>
      <c r="O1855" s="256"/>
      <c r="P1855" s="162"/>
      <c r="Q1855" s="506"/>
      <c r="R1855" s="515"/>
      <c r="S1855" s="173"/>
      <c r="T1855" s="282" t="s">
        <v>713</v>
      </c>
      <c r="U1855" s="253"/>
    </row>
    <row r="1856" spans="1:21" outlineLevel="3">
      <c r="A1856" s="229"/>
      <c r="B1856" s="253">
        <v>52</v>
      </c>
      <c r="C1856" s="162" t="s">
        <v>757</v>
      </c>
      <c r="D1856" s="166"/>
      <c r="E1856" s="169"/>
      <c r="F1856" s="162"/>
      <c r="G1856" s="166"/>
      <c r="H1856" s="169"/>
      <c r="I1856" s="164">
        <v>133848</v>
      </c>
      <c r="J1856" s="169"/>
      <c r="K1856" s="162"/>
      <c r="L1856" s="245"/>
      <c r="M1856" s="230"/>
      <c r="N1856" s="253"/>
      <c r="O1856" s="256"/>
      <c r="P1856" s="162"/>
      <c r="Q1856" s="506"/>
      <c r="R1856" s="515"/>
      <c r="S1856" s="173"/>
      <c r="T1856" s="282" t="s">
        <v>713</v>
      </c>
      <c r="U1856" s="170"/>
    </row>
    <row r="1857" spans="1:21" outlineLevel="3">
      <c r="A1857" s="231"/>
      <c r="B1857" s="253">
        <v>90</v>
      </c>
      <c r="C1857" s="162" t="s">
        <v>758</v>
      </c>
      <c r="D1857" s="166"/>
      <c r="E1857" s="169"/>
      <c r="F1857" s="162"/>
      <c r="G1857" s="166"/>
      <c r="H1857" s="169"/>
      <c r="I1857" s="164">
        <v>70848</v>
      </c>
      <c r="J1857" s="169"/>
      <c r="K1857" s="162"/>
      <c r="L1857" s="245"/>
      <c r="M1857" s="230"/>
      <c r="N1857" s="253"/>
      <c r="O1857" s="256"/>
      <c r="P1857" s="162"/>
      <c r="Q1857" s="506"/>
      <c r="R1857" s="515"/>
      <c r="S1857" s="173"/>
      <c r="T1857" s="282" t="s">
        <v>713</v>
      </c>
      <c r="U1857" s="253"/>
    </row>
    <row r="1858" spans="1:21" outlineLevel="3">
      <c r="A1858" s="231"/>
      <c r="B1858" s="253">
        <v>53</v>
      </c>
      <c r="C1858" s="162" t="s">
        <v>759</v>
      </c>
      <c r="D1858" s="166"/>
      <c r="E1858" s="169"/>
      <c r="F1858" s="162"/>
      <c r="G1858" s="166"/>
      <c r="H1858" s="169"/>
      <c r="I1858" s="164">
        <v>100224</v>
      </c>
      <c r="J1858" s="169"/>
      <c r="K1858" s="162"/>
      <c r="L1858" s="245"/>
      <c r="M1858" s="230"/>
      <c r="N1858" s="253"/>
      <c r="O1858" s="256"/>
      <c r="P1858" s="162"/>
      <c r="Q1858" s="506"/>
      <c r="R1858" s="515"/>
      <c r="S1858" s="173"/>
      <c r="T1858" s="282" t="s">
        <v>713</v>
      </c>
      <c r="U1858" s="253"/>
    </row>
    <row r="1859" spans="1:21" outlineLevel="3">
      <c r="A1859" s="231"/>
      <c r="B1859" s="253">
        <v>74</v>
      </c>
      <c r="C1859" s="162" t="s">
        <v>760</v>
      </c>
      <c r="D1859" s="166"/>
      <c r="E1859" s="169"/>
      <c r="F1859" s="162"/>
      <c r="G1859" s="166"/>
      <c r="H1859" s="169"/>
      <c r="I1859" s="164">
        <v>36000</v>
      </c>
      <c r="J1859" s="169"/>
      <c r="K1859" s="162"/>
      <c r="L1859" s="245"/>
      <c r="M1859" s="230"/>
      <c r="N1859" s="253"/>
      <c r="O1859" s="256"/>
      <c r="P1859" s="162"/>
      <c r="Q1859" s="506"/>
      <c r="R1859" s="515"/>
      <c r="S1859" s="173"/>
      <c r="T1859" s="282" t="s">
        <v>713</v>
      </c>
      <c r="U1859" s="253"/>
    </row>
    <row r="1860" spans="1:21" outlineLevel="3">
      <c r="A1860" s="231"/>
      <c r="B1860" s="253">
        <v>51</v>
      </c>
      <c r="C1860" s="162" t="s">
        <v>761</v>
      </c>
      <c r="D1860" s="166"/>
      <c r="E1860" s="169"/>
      <c r="F1860" s="162"/>
      <c r="G1860" s="166"/>
      <c r="H1860" s="169"/>
      <c r="I1860" s="164">
        <v>59040</v>
      </c>
      <c r="J1860" s="169"/>
      <c r="K1860" s="162"/>
      <c r="L1860" s="245"/>
      <c r="M1860" s="230"/>
      <c r="N1860" s="253"/>
      <c r="O1860" s="256"/>
      <c r="P1860" s="162"/>
      <c r="Q1860" s="506"/>
      <c r="R1860" s="515"/>
      <c r="S1860" s="173"/>
      <c r="T1860" s="282" t="s">
        <v>713</v>
      </c>
      <c r="U1860" s="253"/>
    </row>
    <row r="1861" spans="1:21" outlineLevel="3">
      <c r="A1861" s="231"/>
      <c r="B1861" s="253">
        <v>55</v>
      </c>
      <c r="C1861" s="162" t="s">
        <v>762</v>
      </c>
      <c r="D1861" s="166"/>
      <c r="E1861" s="169"/>
      <c r="F1861" s="162"/>
      <c r="G1861" s="166"/>
      <c r="H1861" s="169"/>
      <c r="I1861" s="164">
        <v>32400</v>
      </c>
      <c r="J1861" s="169"/>
      <c r="K1861" s="162"/>
      <c r="L1861" s="245"/>
      <c r="M1861" s="230"/>
      <c r="N1861" s="253"/>
      <c r="O1861" s="256"/>
      <c r="P1861" s="162"/>
      <c r="Q1861" s="506"/>
      <c r="R1861" s="515"/>
      <c r="S1861" s="173"/>
      <c r="T1861" s="282" t="s">
        <v>713</v>
      </c>
      <c r="U1861" s="253"/>
    </row>
    <row r="1862" spans="1:21" outlineLevel="3">
      <c r="A1862" s="231"/>
      <c r="B1862" s="253">
        <v>54</v>
      </c>
      <c r="C1862" s="162" t="s">
        <v>763</v>
      </c>
      <c r="D1862" s="166"/>
      <c r="E1862" s="169"/>
      <c r="F1862" s="162"/>
      <c r="G1862" s="166"/>
      <c r="H1862" s="169"/>
      <c r="I1862" s="164">
        <v>62928</v>
      </c>
      <c r="J1862" s="169"/>
      <c r="K1862" s="162"/>
      <c r="L1862" s="245"/>
      <c r="M1862" s="230"/>
      <c r="N1862" s="253"/>
      <c r="O1862" s="256"/>
      <c r="P1862" s="162"/>
      <c r="Q1862" s="506"/>
      <c r="R1862" s="515"/>
      <c r="S1862" s="173"/>
      <c r="T1862" s="282" t="s">
        <v>713</v>
      </c>
      <c r="U1862" s="253"/>
    </row>
    <row r="1863" spans="1:21" outlineLevel="3">
      <c r="A1863" s="231"/>
      <c r="B1863" s="253">
        <v>70</v>
      </c>
      <c r="C1863" s="162" t="s">
        <v>764</v>
      </c>
      <c r="D1863" s="166"/>
      <c r="E1863" s="169"/>
      <c r="F1863" s="162"/>
      <c r="G1863" s="166"/>
      <c r="H1863" s="169"/>
      <c r="I1863" s="164">
        <v>72000</v>
      </c>
      <c r="J1863" s="169"/>
      <c r="K1863" s="162"/>
      <c r="L1863" s="245"/>
      <c r="M1863" s="230"/>
      <c r="N1863" s="253"/>
      <c r="O1863" s="256"/>
      <c r="P1863" s="162"/>
      <c r="Q1863" s="506"/>
      <c r="R1863" s="515"/>
      <c r="S1863" s="173"/>
      <c r="T1863" s="282" t="s">
        <v>713</v>
      </c>
      <c r="U1863" s="253"/>
    </row>
    <row r="1864" spans="1:21" outlineLevel="3">
      <c r="A1864" s="231"/>
      <c r="B1864" s="253">
        <v>67</v>
      </c>
      <c r="C1864" s="162" t="s">
        <v>765</v>
      </c>
      <c r="D1864" s="166"/>
      <c r="E1864" s="169"/>
      <c r="F1864" s="162"/>
      <c r="G1864" s="166"/>
      <c r="H1864" s="169"/>
      <c r="I1864" s="164">
        <v>92664</v>
      </c>
      <c r="J1864" s="169"/>
      <c r="K1864" s="162"/>
      <c r="L1864" s="245"/>
      <c r="M1864" s="230"/>
      <c r="N1864" s="253"/>
      <c r="O1864" s="256"/>
      <c r="P1864" s="162"/>
      <c r="Q1864" s="506"/>
      <c r="R1864" s="515"/>
      <c r="S1864" s="173"/>
      <c r="T1864" s="282" t="s">
        <v>713</v>
      </c>
      <c r="U1864" s="253"/>
    </row>
    <row r="1865" spans="1:21" outlineLevel="3">
      <c r="A1865" s="231"/>
      <c r="B1865" s="253">
        <v>51</v>
      </c>
      <c r="C1865" s="162" t="s">
        <v>766</v>
      </c>
      <c r="D1865" s="166"/>
      <c r="E1865" s="169"/>
      <c r="F1865" s="162"/>
      <c r="G1865" s="166"/>
      <c r="H1865" s="169"/>
      <c r="I1865" s="164">
        <v>20412</v>
      </c>
      <c r="J1865" s="169"/>
      <c r="K1865" s="162"/>
      <c r="L1865" s="245"/>
      <c r="M1865" s="230"/>
      <c r="N1865" s="253"/>
      <c r="O1865" s="256"/>
      <c r="P1865" s="162"/>
      <c r="Q1865" s="506"/>
      <c r="R1865" s="515"/>
      <c r="S1865" s="173"/>
      <c r="T1865" s="282" t="s">
        <v>713</v>
      </c>
      <c r="U1865" s="253"/>
    </row>
    <row r="1866" spans="1:21" outlineLevel="3">
      <c r="A1866" s="231"/>
      <c r="B1866" s="253"/>
      <c r="C1866" s="384" t="s">
        <v>990</v>
      </c>
      <c r="D1866" s="166"/>
      <c r="E1866" s="169"/>
      <c r="F1866" s="162"/>
      <c r="G1866" s="166"/>
      <c r="H1866" s="169"/>
      <c r="I1866" s="244">
        <f>SUM(I1851:I1865)</f>
        <v>2252124</v>
      </c>
      <c r="J1866" s="169"/>
      <c r="K1866" s="162"/>
      <c r="L1866" s="245"/>
      <c r="M1866" s="230"/>
      <c r="N1866" s="253"/>
      <c r="O1866" s="256"/>
      <c r="P1866" s="162"/>
      <c r="Q1866" s="506"/>
      <c r="R1866" s="515"/>
      <c r="S1866" s="173"/>
      <c r="T1866" s="282"/>
      <c r="U1866" s="253"/>
    </row>
    <row r="1867" spans="1:21" s="286" customFormat="1" outlineLevel="3">
      <c r="A1867" s="468"/>
      <c r="B1867" s="285">
        <v>73</v>
      </c>
      <c r="C1867" s="283" t="s">
        <v>767</v>
      </c>
      <c r="D1867" s="350"/>
      <c r="E1867" s="237"/>
      <c r="F1867" s="283"/>
      <c r="G1867" s="350"/>
      <c r="H1867" s="237"/>
      <c r="I1867" s="219">
        <v>280800</v>
      </c>
      <c r="J1867" s="237"/>
      <c r="K1867" s="283"/>
      <c r="L1867" s="394"/>
      <c r="M1867" s="509"/>
      <c r="N1867" s="285"/>
      <c r="O1867" s="239"/>
      <c r="P1867" s="283"/>
      <c r="Q1867" s="497"/>
      <c r="R1867" s="518"/>
      <c r="S1867" s="284"/>
      <c r="T1867" s="381"/>
      <c r="U1867" s="285"/>
    </row>
    <row r="1868" spans="1:21" s="286" customFormat="1" outlineLevel="3">
      <c r="A1868" s="468"/>
      <c r="B1868" s="285">
        <v>44</v>
      </c>
      <c r="C1868" s="283" t="s">
        <v>768</v>
      </c>
      <c r="D1868" s="350"/>
      <c r="E1868" s="237"/>
      <c r="F1868" s="283"/>
      <c r="G1868" s="350"/>
      <c r="H1868" s="237"/>
      <c r="I1868" s="219">
        <v>22608</v>
      </c>
      <c r="J1868" s="237"/>
      <c r="K1868" s="283"/>
      <c r="L1868" s="394"/>
      <c r="M1868" s="509"/>
      <c r="N1868" s="285"/>
      <c r="O1868" s="239"/>
      <c r="P1868" s="283"/>
      <c r="Q1868" s="497"/>
      <c r="R1868" s="518"/>
      <c r="S1868" s="284"/>
      <c r="T1868" s="381"/>
      <c r="U1868" s="285"/>
    </row>
    <row r="1869" spans="1:21" s="286" customFormat="1" outlineLevel="3">
      <c r="A1869" s="468"/>
      <c r="B1869" s="285">
        <v>50</v>
      </c>
      <c r="C1869" s="283" t="s">
        <v>769</v>
      </c>
      <c r="D1869" s="350"/>
      <c r="E1869" s="237"/>
      <c r="F1869" s="283"/>
      <c r="G1869" s="350"/>
      <c r="H1869" s="237"/>
      <c r="I1869" s="219">
        <v>19152</v>
      </c>
      <c r="J1869" s="237"/>
      <c r="K1869" s="283"/>
      <c r="L1869" s="394"/>
      <c r="M1869" s="509"/>
      <c r="N1869" s="285"/>
      <c r="O1869" s="239"/>
      <c r="P1869" s="283"/>
      <c r="Q1869" s="497"/>
      <c r="R1869" s="518"/>
      <c r="S1869" s="284"/>
      <c r="T1869" s="381"/>
      <c r="U1869" s="285"/>
    </row>
    <row r="1870" spans="1:21" s="286" customFormat="1" outlineLevel="3">
      <c r="A1870" s="468"/>
      <c r="B1870" s="285">
        <v>44</v>
      </c>
      <c r="C1870" s="283" t="s">
        <v>770</v>
      </c>
      <c r="D1870" s="350"/>
      <c r="E1870" s="237"/>
      <c r="F1870" s="283"/>
      <c r="G1870" s="350"/>
      <c r="H1870" s="237"/>
      <c r="I1870" s="219">
        <v>70416</v>
      </c>
      <c r="J1870" s="237"/>
      <c r="K1870" s="283"/>
      <c r="L1870" s="394"/>
      <c r="M1870" s="509"/>
      <c r="N1870" s="285"/>
      <c r="O1870" s="239"/>
      <c r="P1870" s="283"/>
      <c r="Q1870" s="497"/>
      <c r="R1870" s="518"/>
      <c r="S1870" s="284"/>
      <c r="T1870" s="381"/>
      <c r="U1870" s="285"/>
    </row>
    <row r="1871" spans="1:21" s="286" customFormat="1" outlineLevel="3">
      <c r="A1871" s="468"/>
      <c r="B1871" s="285">
        <v>76</v>
      </c>
      <c r="C1871" s="283" t="s">
        <v>771</v>
      </c>
      <c r="D1871" s="350"/>
      <c r="E1871" s="237"/>
      <c r="F1871" s="283"/>
      <c r="G1871" s="350"/>
      <c r="H1871" s="237"/>
      <c r="I1871" s="219">
        <v>55512</v>
      </c>
      <c r="J1871" s="237"/>
      <c r="K1871" s="283"/>
      <c r="L1871" s="394"/>
      <c r="M1871" s="509"/>
      <c r="N1871" s="285"/>
      <c r="O1871" s="239"/>
      <c r="P1871" s="283"/>
      <c r="Q1871" s="497"/>
      <c r="R1871" s="518"/>
      <c r="S1871" s="284"/>
      <c r="T1871" s="381"/>
      <c r="U1871" s="285"/>
    </row>
    <row r="1872" spans="1:21" s="286" customFormat="1" outlineLevel="3">
      <c r="A1872" s="468"/>
      <c r="B1872" s="285">
        <v>55</v>
      </c>
      <c r="C1872" s="283" t="s">
        <v>773</v>
      </c>
      <c r="D1872" s="350"/>
      <c r="E1872" s="237"/>
      <c r="F1872" s="283"/>
      <c r="G1872" s="350"/>
      <c r="H1872" s="237"/>
      <c r="I1872" s="219">
        <v>95760</v>
      </c>
      <c r="J1872" s="237"/>
      <c r="K1872" s="283"/>
      <c r="L1872" s="394"/>
      <c r="M1872" s="509"/>
      <c r="N1872" s="285"/>
      <c r="O1872" s="239"/>
      <c r="P1872" s="283"/>
      <c r="Q1872" s="497"/>
      <c r="R1872" s="518"/>
      <c r="S1872" s="284"/>
      <c r="T1872" s="381"/>
      <c r="U1872" s="285"/>
    </row>
    <row r="1873" spans="1:21" s="286" customFormat="1" outlineLevel="3">
      <c r="A1873" s="468"/>
      <c r="B1873" s="285"/>
      <c r="C1873" s="384" t="s">
        <v>1132</v>
      </c>
      <c r="D1873" s="350"/>
      <c r="E1873" s="237"/>
      <c r="F1873" s="283"/>
      <c r="G1873" s="350"/>
      <c r="H1873" s="237"/>
      <c r="I1873" s="251">
        <f>SUM(I1867:I1872)</f>
        <v>544248</v>
      </c>
      <c r="J1873" s="237"/>
      <c r="K1873" s="283"/>
      <c r="L1873" s="394"/>
      <c r="M1873" s="509"/>
      <c r="N1873" s="285"/>
      <c r="O1873" s="239"/>
      <c r="P1873" s="283"/>
      <c r="Q1873" s="497"/>
      <c r="R1873" s="518"/>
      <c r="S1873" s="284"/>
      <c r="T1873" s="381"/>
      <c r="U1873" s="285"/>
    </row>
    <row r="1874" spans="1:21" s="286" customFormat="1" outlineLevel="2">
      <c r="A1874" s="468"/>
      <c r="B1874" s="285"/>
      <c r="C1874" s="382" t="s">
        <v>988</v>
      </c>
      <c r="D1874" s="350"/>
      <c r="E1874" s="237"/>
      <c r="F1874" s="283"/>
      <c r="G1874" s="350"/>
      <c r="H1874" s="237"/>
      <c r="I1874" s="251">
        <f>SUM(I1866,I1873)</f>
        <v>2796372</v>
      </c>
      <c r="J1874" s="237"/>
      <c r="K1874" s="283"/>
      <c r="L1874" s="394"/>
      <c r="M1874" s="509"/>
      <c r="N1874" s="285"/>
      <c r="O1874" s="239"/>
      <c r="P1874" s="283"/>
      <c r="Q1874" s="497"/>
      <c r="R1874" s="518"/>
      <c r="S1874" s="284"/>
      <c r="T1874" s="381"/>
      <c r="U1874" s="285"/>
    </row>
    <row r="1875" spans="1:21" outlineLevel="3">
      <c r="A1875" s="231"/>
      <c r="B1875" s="253">
        <v>65</v>
      </c>
      <c r="C1875" s="162" t="s">
        <v>774</v>
      </c>
      <c r="D1875" s="166"/>
      <c r="E1875" s="169"/>
      <c r="F1875" s="162"/>
      <c r="G1875" s="166"/>
      <c r="H1875" s="169"/>
      <c r="I1875" s="164" t="s">
        <v>514</v>
      </c>
      <c r="J1875" s="164">
        <v>138672</v>
      </c>
      <c r="K1875" s="162"/>
      <c r="L1875" s="245"/>
      <c r="M1875" s="230"/>
      <c r="N1875" s="253"/>
      <c r="O1875" s="256"/>
      <c r="P1875" s="162"/>
      <c r="Q1875" s="506"/>
      <c r="R1875" s="515"/>
      <c r="S1875" s="173"/>
      <c r="T1875" s="282" t="s">
        <v>713</v>
      </c>
      <c r="U1875" s="253"/>
    </row>
    <row r="1876" spans="1:21" outlineLevel="3">
      <c r="A1876" s="231"/>
      <c r="B1876" s="253">
        <v>64</v>
      </c>
      <c r="C1876" s="162" t="s">
        <v>775</v>
      </c>
      <c r="D1876" s="166"/>
      <c r="E1876" s="169"/>
      <c r="F1876" s="162"/>
      <c r="G1876" s="166"/>
      <c r="H1876" s="169"/>
      <c r="I1876" s="169"/>
      <c r="J1876" s="164">
        <v>115632</v>
      </c>
      <c r="K1876" s="162"/>
      <c r="L1876" s="245"/>
      <c r="M1876" s="230"/>
      <c r="N1876" s="253"/>
      <c r="O1876" s="256"/>
      <c r="P1876" s="162"/>
      <c r="Q1876" s="506"/>
      <c r="R1876" s="515"/>
      <c r="S1876" s="173"/>
      <c r="T1876" s="282" t="s">
        <v>713</v>
      </c>
      <c r="U1876" s="253"/>
    </row>
    <row r="1877" spans="1:21" outlineLevel="3">
      <c r="A1877" s="231"/>
      <c r="B1877" s="253">
        <v>71</v>
      </c>
      <c r="C1877" s="162" t="s">
        <v>776</v>
      </c>
      <c r="D1877" s="166"/>
      <c r="E1877" s="169"/>
      <c r="F1877" s="162"/>
      <c r="G1877" s="166"/>
      <c r="H1877" s="169"/>
      <c r="I1877" s="169"/>
      <c r="J1877" s="164">
        <v>40320</v>
      </c>
      <c r="K1877" s="162"/>
      <c r="L1877" s="245"/>
      <c r="M1877" s="230"/>
      <c r="N1877" s="253"/>
      <c r="O1877" s="256"/>
      <c r="P1877" s="162"/>
      <c r="Q1877" s="506"/>
      <c r="R1877" s="515"/>
      <c r="S1877" s="173"/>
      <c r="T1877" s="282" t="s">
        <v>713</v>
      </c>
      <c r="U1877" s="253"/>
    </row>
    <row r="1878" spans="1:21" outlineLevel="3">
      <c r="A1878" s="231"/>
      <c r="B1878" s="253">
        <v>87</v>
      </c>
      <c r="C1878" s="162" t="s">
        <v>777</v>
      </c>
      <c r="D1878" s="166"/>
      <c r="E1878" s="169"/>
      <c r="F1878" s="162"/>
      <c r="G1878" s="166"/>
      <c r="H1878" s="169"/>
      <c r="I1878" s="169"/>
      <c r="J1878" s="164">
        <v>615816</v>
      </c>
      <c r="K1878" s="162"/>
      <c r="L1878" s="245"/>
      <c r="M1878" s="230"/>
      <c r="N1878" s="253"/>
      <c r="O1878" s="256"/>
      <c r="P1878" s="162"/>
      <c r="Q1878" s="506"/>
      <c r="R1878" s="515"/>
      <c r="S1878" s="173"/>
      <c r="T1878" s="282" t="s">
        <v>713</v>
      </c>
      <c r="U1878" s="253"/>
    </row>
    <row r="1879" spans="1:21" outlineLevel="3">
      <c r="A1879" s="231"/>
      <c r="B1879" s="253">
        <v>52</v>
      </c>
      <c r="C1879" s="162" t="s">
        <v>778</v>
      </c>
      <c r="D1879" s="166"/>
      <c r="E1879" s="169"/>
      <c r="F1879" s="162"/>
      <c r="G1879" s="166"/>
      <c r="H1879" s="169"/>
      <c r="I1879" s="169"/>
      <c r="J1879" s="164">
        <v>82008</v>
      </c>
      <c r="K1879" s="162"/>
      <c r="L1879" s="245"/>
      <c r="M1879" s="230"/>
      <c r="N1879" s="253"/>
      <c r="O1879" s="256"/>
      <c r="P1879" s="162"/>
      <c r="Q1879" s="506"/>
      <c r="R1879" s="515"/>
      <c r="S1879" s="173"/>
      <c r="T1879" s="282" t="s">
        <v>713</v>
      </c>
      <c r="U1879" s="253"/>
    </row>
    <row r="1880" spans="1:21" outlineLevel="3">
      <c r="A1880" s="231"/>
      <c r="B1880" s="253">
        <v>52</v>
      </c>
      <c r="C1880" s="162" t="s">
        <v>780</v>
      </c>
      <c r="D1880" s="166"/>
      <c r="E1880" s="169"/>
      <c r="F1880" s="162"/>
      <c r="G1880" s="166"/>
      <c r="H1880" s="169"/>
      <c r="I1880" s="169"/>
      <c r="J1880" s="164">
        <v>120744</v>
      </c>
      <c r="K1880" s="162"/>
      <c r="L1880" s="245"/>
      <c r="M1880" s="230"/>
      <c r="N1880" s="253"/>
      <c r="O1880" s="256"/>
      <c r="P1880" s="162"/>
      <c r="Q1880" s="506"/>
      <c r="R1880" s="515"/>
      <c r="S1880" s="173"/>
      <c r="T1880" s="282" t="s">
        <v>713</v>
      </c>
      <c r="U1880" s="253"/>
    </row>
    <row r="1881" spans="1:21" outlineLevel="3">
      <c r="A1881" s="231"/>
      <c r="B1881" s="253">
        <v>52</v>
      </c>
      <c r="C1881" s="162" t="s">
        <v>781</v>
      </c>
      <c r="D1881" s="166"/>
      <c r="E1881" s="169"/>
      <c r="F1881" s="162"/>
      <c r="G1881" s="166"/>
      <c r="H1881" s="169"/>
      <c r="I1881" s="169"/>
      <c r="J1881" s="164">
        <v>122976</v>
      </c>
      <c r="K1881" s="162"/>
      <c r="L1881" s="245"/>
      <c r="M1881" s="230"/>
      <c r="N1881" s="253"/>
      <c r="O1881" s="256"/>
      <c r="P1881" s="162"/>
      <c r="Q1881" s="506"/>
      <c r="R1881" s="515"/>
      <c r="S1881" s="173"/>
      <c r="T1881" s="282" t="s">
        <v>713</v>
      </c>
      <c r="U1881" s="253"/>
    </row>
    <row r="1882" spans="1:21" outlineLevel="3">
      <c r="A1882" s="231"/>
      <c r="B1882" s="253">
        <v>38</v>
      </c>
      <c r="C1882" s="162" t="s">
        <v>782</v>
      </c>
      <c r="D1882" s="166"/>
      <c r="E1882" s="169"/>
      <c r="F1882" s="162"/>
      <c r="G1882" s="166"/>
      <c r="H1882" s="169"/>
      <c r="I1882" s="169"/>
      <c r="J1882" s="164">
        <v>55656</v>
      </c>
      <c r="K1882" s="162"/>
      <c r="L1882" s="245"/>
      <c r="M1882" s="230"/>
      <c r="N1882" s="253"/>
      <c r="O1882" s="256"/>
      <c r="P1882" s="162"/>
      <c r="Q1882" s="506"/>
      <c r="R1882" s="515"/>
      <c r="S1882" s="173"/>
      <c r="T1882" s="282" t="s">
        <v>713</v>
      </c>
      <c r="U1882" s="253"/>
    </row>
    <row r="1883" spans="1:21" outlineLevel="3">
      <c r="A1883" s="231"/>
      <c r="B1883" s="253">
        <v>52</v>
      </c>
      <c r="C1883" s="162" t="s">
        <v>783</v>
      </c>
      <c r="D1883" s="166"/>
      <c r="E1883" s="169"/>
      <c r="F1883" s="162"/>
      <c r="G1883" s="166"/>
      <c r="H1883" s="169"/>
      <c r="I1883" s="169"/>
      <c r="J1883" s="164">
        <v>146592</v>
      </c>
      <c r="K1883" s="162"/>
      <c r="L1883" s="245"/>
      <c r="M1883" s="230"/>
      <c r="N1883" s="253"/>
      <c r="O1883" s="256"/>
      <c r="P1883" s="162"/>
      <c r="Q1883" s="506"/>
      <c r="R1883" s="515"/>
      <c r="S1883" s="173"/>
      <c r="T1883" s="282" t="s">
        <v>713</v>
      </c>
      <c r="U1883" s="253"/>
    </row>
    <row r="1884" spans="1:21" outlineLevel="3">
      <c r="A1884" s="231"/>
      <c r="B1884" s="253">
        <v>55</v>
      </c>
      <c r="C1884" s="162" t="s">
        <v>784</v>
      </c>
      <c r="D1884" s="166"/>
      <c r="E1884" s="169"/>
      <c r="F1884" s="162"/>
      <c r="G1884" s="166"/>
      <c r="H1884" s="169"/>
      <c r="I1884" s="169"/>
      <c r="J1884" s="164">
        <v>338400</v>
      </c>
      <c r="K1884" s="162"/>
      <c r="L1884" s="245"/>
      <c r="M1884" s="230"/>
      <c r="N1884" s="253"/>
      <c r="O1884" s="256"/>
      <c r="P1884" s="162"/>
      <c r="Q1884" s="506"/>
      <c r="R1884" s="515"/>
      <c r="S1884" s="173"/>
      <c r="T1884" s="282" t="s">
        <v>713</v>
      </c>
      <c r="U1884" s="253"/>
    </row>
    <row r="1885" spans="1:21" outlineLevel="3">
      <c r="A1885" s="231"/>
      <c r="B1885" s="253">
        <v>56</v>
      </c>
      <c r="C1885" s="162" t="s">
        <v>785</v>
      </c>
      <c r="D1885" s="166"/>
      <c r="E1885" s="169"/>
      <c r="F1885" s="162"/>
      <c r="G1885" s="166"/>
      <c r="H1885" s="169"/>
      <c r="I1885" s="169"/>
      <c r="J1885" s="164">
        <v>307080</v>
      </c>
      <c r="K1885" s="162"/>
      <c r="L1885" s="245"/>
      <c r="M1885" s="230"/>
      <c r="N1885" s="253"/>
      <c r="O1885" s="256"/>
      <c r="P1885" s="162"/>
      <c r="Q1885" s="506"/>
      <c r="R1885" s="515"/>
      <c r="S1885" s="173"/>
      <c r="T1885" s="282" t="s">
        <v>713</v>
      </c>
      <c r="U1885" s="253"/>
    </row>
    <row r="1886" spans="1:21" outlineLevel="3">
      <c r="A1886" s="231"/>
      <c r="B1886" s="253">
        <v>51</v>
      </c>
      <c r="C1886" s="162" t="s">
        <v>786</v>
      </c>
      <c r="D1886" s="166"/>
      <c r="E1886" s="169"/>
      <c r="F1886" s="162"/>
      <c r="G1886" s="166"/>
      <c r="H1886" s="169"/>
      <c r="I1886" s="169"/>
      <c r="J1886" s="164">
        <v>100152</v>
      </c>
      <c r="K1886" s="162"/>
      <c r="L1886" s="245"/>
      <c r="M1886" s="230"/>
      <c r="N1886" s="253"/>
      <c r="O1886" s="256"/>
      <c r="P1886" s="162"/>
      <c r="Q1886" s="506"/>
      <c r="R1886" s="515"/>
      <c r="S1886" s="173"/>
      <c r="T1886" s="282" t="s">
        <v>713</v>
      </c>
      <c r="U1886" s="253"/>
    </row>
    <row r="1887" spans="1:21" outlineLevel="3">
      <c r="A1887" s="231"/>
      <c r="B1887" s="253">
        <v>44</v>
      </c>
      <c r="C1887" s="162" t="s">
        <v>788</v>
      </c>
      <c r="D1887" s="166"/>
      <c r="E1887" s="169"/>
      <c r="F1887" s="162"/>
      <c r="G1887" s="166"/>
      <c r="H1887" s="169"/>
      <c r="I1887" s="169"/>
      <c r="J1887" s="164">
        <v>48888</v>
      </c>
      <c r="K1887" s="162"/>
      <c r="L1887" s="245"/>
      <c r="M1887" s="230"/>
      <c r="N1887" s="253"/>
      <c r="O1887" s="256"/>
      <c r="P1887" s="162"/>
      <c r="Q1887" s="506"/>
      <c r="R1887" s="515"/>
      <c r="S1887" s="173"/>
      <c r="T1887" s="282" t="s">
        <v>713</v>
      </c>
      <c r="U1887" s="253"/>
    </row>
    <row r="1888" spans="1:21" outlineLevel="3">
      <c r="A1888" s="231"/>
      <c r="B1888" s="253"/>
      <c r="C1888" s="384" t="s">
        <v>990</v>
      </c>
      <c r="D1888" s="166"/>
      <c r="E1888" s="169"/>
      <c r="F1888" s="162"/>
      <c r="G1888" s="166"/>
      <c r="H1888" s="169"/>
      <c r="I1888" s="169"/>
      <c r="J1888" s="244">
        <f>SUM(J1875:J1887)</f>
        <v>2232936</v>
      </c>
      <c r="K1888" s="162"/>
      <c r="L1888" s="245"/>
      <c r="M1888" s="230"/>
      <c r="N1888" s="253"/>
      <c r="O1888" s="256"/>
      <c r="P1888" s="162"/>
      <c r="Q1888" s="506"/>
      <c r="R1888" s="515"/>
      <c r="S1888" s="173"/>
      <c r="T1888" s="282"/>
      <c r="U1888" s="253"/>
    </row>
    <row r="1889" spans="1:21" s="286" customFormat="1" outlineLevel="3">
      <c r="A1889" s="468"/>
      <c r="B1889" s="285">
        <v>61</v>
      </c>
      <c r="C1889" s="283" t="s">
        <v>789</v>
      </c>
      <c r="D1889" s="350"/>
      <c r="E1889" s="237"/>
      <c r="F1889" s="283"/>
      <c r="G1889" s="350"/>
      <c r="H1889" s="237"/>
      <c r="I1889" s="237"/>
      <c r="J1889" s="219">
        <v>411984</v>
      </c>
      <c r="K1889" s="283"/>
      <c r="L1889" s="394"/>
      <c r="M1889" s="509"/>
      <c r="N1889" s="285"/>
      <c r="O1889" s="239"/>
      <c r="P1889" s="283"/>
      <c r="Q1889" s="497"/>
      <c r="R1889" s="518"/>
      <c r="S1889" s="284"/>
      <c r="T1889" s="381"/>
      <c r="U1889" s="285"/>
    </row>
    <row r="1890" spans="1:21" s="286" customFormat="1" outlineLevel="3">
      <c r="A1890" s="468"/>
      <c r="B1890" s="285">
        <v>55</v>
      </c>
      <c r="C1890" s="283" t="s">
        <v>790</v>
      </c>
      <c r="D1890" s="350"/>
      <c r="E1890" s="237"/>
      <c r="F1890" s="283"/>
      <c r="G1890" s="350"/>
      <c r="H1890" s="237"/>
      <c r="I1890" s="237"/>
      <c r="J1890" s="219">
        <v>76752</v>
      </c>
      <c r="K1890" s="283"/>
      <c r="L1890" s="394"/>
      <c r="M1890" s="509"/>
      <c r="N1890" s="285"/>
      <c r="O1890" s="239"/>
      <c r="P1890" s="283"/>
      <c r="Q1890" s="497"/>
      <c r="R1890" s="518"/>
      <c r="S1890" s="284"/>
      <c r="T1890" s="381"/>
      <c r="U1890" s="285"/>
    </row>
    <row r="1891" spans="1:21" s="286" customFormat="1" outlineLevel="3">
      <c r="A1891" s="468"/>
      <c r="B1891" s="285">
        <v>67</v>
      </c>
      <c r="C1891" s="283" t="s">
        <v>772</v>
      </c>
      <c r="D1891" s="350"/>
      <c r="E1891" s="237"/>
      <c r="F1891" s="283"/>
      <c r="G1891" s="350"/>
      <c r="H1891" s="237"/>
      <c r="I1891" s="237"/>
      <c r="J1891" s="219">
        <v>108432</v>
      </c>
      <c r="K1891" s="283"/>
      <c r="L1891" s="394"/>
      <c r="M1891" s="509"/>
      <c r="N1891" s="285"/>
      <c r="O1891" s="239"/>
      <c r="P1891" s="283"/>
      <c r="Q1891" s="497"/>
      <c r="R1891" s="518"/>
      <c r="S1891" s="284"/>
      <c r="T1891" s="381"/>
      <c r="U1891" s="285"/>
    </row>
    <row r="1892" spans="1:21" s="286" customFormat="1" outlineLevel="3">
      <c r="A1892" s="468"/>
      <c r="B1892" s="285">
        <v>76</v>
      </c>
      <c r="C1892" s="283" t="s">
        <v>779</v>
      </c>
      <c r="D1892" s="350"/>
      <c r="E1892" s="237"/>
      <c r="F1892" s="283"/>
      <c r="G1892" s="350"/>
      <c r="H1892" s="237"/>
      <c r="I1892" s="237"/>
      <c r="J1892" s="219">
        <v>29376</v>
      </c>
      <c r="K1892" s="283"/>
      <c r="L1892" s="394"/>
      <c r="M1892" s="509"/>
      <c r="N1892" s="285"/>
      <c r="O1892" s="239"/>
      <c r="P1892" s="283"/>
      <c r="Q1892" s="497"/>
      <c r="R1892" s="518"/>
      <c r="S1892" s="284"/>
      <c r="T1892" s="381"/>
      <c r="U1892" s="285"/>
    </row>
    <row r="1893" spans="1:21" s="286" customFormat="1" outlineLevel="3">
      <c r="A1893" s="468"/>
      <c r="B1893" s="285">
        <v>47</v>
      </c>
      <c r="C1893" s="283" t="s">
        <v>787</v>
      </c>
      <c r="D1893" s="350"/>
      <c r="E1893" s="237"/>
      <c r="F1893" s="283"/>
      <c r="G1893" s="350"/>
      <c r="H1893" s="237"/>
      <c r="I1893" s="237"/>
      <c r="J1893" s="219">
        <v>45000</v>
      </c>
      <c r="K1893" s="283"/>
      <c r="L1893" s="394"/>
      <c r="M1893" s="509"/>
      <c r="N1893" s="285"/>
      <c r="O1893" s="239"/>
      <c r="P1893" s="283"/>
      <c r="Q1893" s="497"/>
      <c r="R1893" s="518"/>
      <c r="S1893" s="284"/>
      <c r="T1893" s="381"/>
      <c r="U1893" s="285"/>
    </row>
    <row r="1894" spans="1:21" s="286" customFormat="1" outlineLevel="3">
      <c r="A1894" s="468"/>
      <c r="B1894" s="285"/>
      <c r="C1894" s="384" t="s">
        <v>1132</v>
      </c>
      <c r="D1894" s="350"/>
      <c r="E1894" s="237"/>
      <c r="F1894" s="283"/>
      <c r="G1894" s="350"/>
      <c r="H1894" s="237"/>
      <c r="I1894" s="237"/>
      <c r="J1894" s="251">
        <f>SUM(J1889:J1893)</f>
        <v>671544</v>
      </c>
      <c r="K1894" s="283"/>
      <c r="L1894" s="394"/>
      <c r="M1894" s="509"/>
      <c r="N1894" s="285"/>
      <c r="O1894" s="239"/>
      <c r="P1894" s="283"/>
      <c r="Q1894" s="497"/>
      <c r="R1894" s="518"/>
      <c r="S1894" s="284"/>
      <c r="T1894" s="381"/>
      <c r="U1894" s="285"/>
    </row>
    <row r="1895" spans="1:21" s="286" customFormat="1" outlineLevel="2">
      <c r="A1895" s="468"/>
      <c r="B1895" s="285"/>
      <c r="C1895" s="382" t="s">
        <v>991</v>
      </c>
      <c r="D1895" s="350"/>
      <c r="E1895" s="237"/>
      <c r="F1895" s="283"/>
      <c r="G1895" s="350"/>
      <c r="H1895" s="237"/>
      <c r="I1895" s="237"/>
      <c r="J1895" s="251">
        <f>SUM(J1888,J1894)</f>
        <v>2904480</v>
      </c>
      <c r="K1895" s="283"/>
      <c r="L1895" s="394"/>
      <c r="M1895" s="509"/>
      <c r="N1895" s="285"/>
      <c r="O1895" s="239"/>
      <c r="P1895" s="283"/>
      <c r="Q1895" s="497"/>
      <c r="R1895" s="518"/>
      <c r="S1895" s="284"/>
      <c r="T1895" s="381"/>
      <c r="U1895" s="285"/>
    </row>
    <row r="1896" spans="1:21" outlineLevel="3">
      <c r="A1896" s="231"/>
      <c r="B1896" s="253">
        <v>72</v>
      </c>
      <c r="C1896" s="162" t="s">
        <v>989</v>
      </c>
      <c r="D1896" s="166"/>
      <c r="E1896" s="169"/>
      <c r="F1896" s="162"/>
      <c r="G1896" s="166"/>
      <c r="H1896" s="169"/>
      <c r="I1896" s="169"/>
      <c r="J1896" s="169" t="s">
        <v>514</v>
      </c>
      <c r="K1896" s="165">
        <v>188640</v>
      </c>
      <c r="L1896" s="245"/>
      <c r="M1896" s="230"/>
      <c r="N1896" s="253"/>
      <c r="O1896" s="256"/>
      <c r="P1896" s="162"/>
      <c r="Q1896" s="506"/>
      <c r="R1896" s="515"/>
      <c r="S1896" s="173"/>
      <c r="T1896" s="282" t="s">
        <v>713</v>
      </c>
      <c r="U1896" s="253"/>
    </row>
    <row r="1897" spans="1:21" outlineLevel="3">
      <c r="A1897" s="231"/>
      <c r="B1897" s="253">
        <v>58</v>
      </c>
      <c r="C1897" s="162" t="s">
        <v>791</v>
      </c>
      <c r="D1897" s="166"/>
      <c r="E1897" s="169"/>
      <c r="F1897" s="162"/>
      <c r="G1897" s="166"/>
      <c r="H1897" s="169"/>
      <c r="I1897" s="169"/>
      <c r="J1897" s="169"/>
      <c r="K1897" s="165">
        <v>274680</v>
      </c>
      <c r="L1897" s="245"/>
      <c r="M1897" s="230"/>
      <c r="N1897" s="253"/>
      <c r="O1897" s="256"/>
      <c r="P1897" s="162"/>
      <c r="Q1897" s="506"/>
      <c r="R1897" s="515"/>
      <c r="S1897" s="173"/>
      <c r="T1897" s="282" t="s">
        <v>713</v>
      </c>
      <c r="U1897" s="253"/>
    </row>
    <row r="1898" spans="1:21" outlineLevel="3">
      <c r="A1898" s="231"/>
      <c r="B1898" s="253">
        <v>45</v>
      </c>
      <c r="C1898" s="162" t="s">
        <v>792</v>
      </c>
      <c r="D1898" s="166"/>
      <c r="E1898" s="169"/>
      <c r="F1898" s="162"/>
      <c r="G1898" s="166"/>
      <c r="H1898" s="169"/>
      <c r="I1898" s="169"/>
      <c r="J1898" s="169"/>
      <c r="K1898" s="165">
        <v>168696</v>
      </c>
      <c r="L1898" s="245"/>
      <c r="M1898" s="230"/>
      <c r="N1898" s="253"/>
      <c r="O1898" s="256"/>
      <c r="P1898" s="162"/>
      <c r="Q1898" s="506"/>
      <c r="R1898" s="515"/>
      <c r="S1898" s="173"/>
      <c r="T1898" s="282" t="s">
        <v>713</v>
      </c>
      <c r="U1898" s="253"/>
    </row>
    <row r="1899" spans="1:21" outlineLevel="3">
      <c r="A1899" s="231"/>
      <c r="B1899" s="253">
        <v>81</v>
      </c>
      <c r="C1899" s="162" t="s">
        <v>793</v>
      </c>
      <c r="D1899" s="166"/>
      <c r="E1899" s="169"/>
      <c r="F1899" s="162"/>
      <c r="G1899" s="166"/>
      <c r="H1899" s="169"/>
      <c r="I1899" s="169"/>
      <c r="J1899" s="169"/>
      <c r="K1899" s="165">
        <v>385000</v>
      </c>
      <c r="L1899" s="245"/>
      <c r="M1899" s="230"/>
      <c r="N1899" s="253"/>
      <c r="O1899" s="256"/>
      <c r="P1899" s="162"/>
      <c r="Q1899" s="506"/>
      <c r="R1899" s="515"/>
      <c r="S1899" s="173"/>
      <c r="T1899" s="282" t="s">
        <v>713</v>
      </c>
      <c r="U1899" s="253"/>
    </row>
    <row r="1900" spans="1:21" outlineLevel="3">
      <c r="A1900" s="231"/>
      <c r="B1900" s="253">
        <v>52</v>
      </c>
      <c r="C1900" s="162" t="s">
        <v>794</v>
      </c>
      <c r="D1900" s="166"/>
      <c r="E1900" s="169"/>
      <c r="F1900" s="162"/>
      <c r="G1900" s="166"/>
      <c r="H1900" s="169" t="s">
        <v>514</v>
      </c>
      <c r="I1900" s="169"/>
      <c r="J1900" s="169"/>
      <c r="K1900" s="165">
        <v>232704</v>
      </c>
      <c r="L1900" s="245"/>
      <c r="M1900" s="230"/>
      <c r="N1900" s="253"/>
      <c r="O1900" s="256"/>
      <c r="P1900" s="162"/>
      <c r="Q1900" s="506"/>
      <c r="R1900" s="515"/>
      <c r="S1900" s="173"/>
      <c r="T1900" s="282" t="s">
        <v>713</v>
      </c>
      <c r="U1900" s="253"/>
    </row>
    <row r="1901" spans="1:21" outlineLevel="3">
      <c r="A1901" s="231"/>
      <c r="B1901" s="253">
        <v>57</v>
      </c>
      <c r="C1901" s="162" t="s">
        <v>795</v>
      </c>
      <c r="D1901" s="166"/>
      <c r="E1901" s="169"/>
      <c r="F1901" s="162"/>
      <c r="G1901" s="166"/>
      <c r="H1901" s="169"/>
      <c r="I1901" s="169"/>
      <c r="J1901" s="169" t="s">
        <v>514</v>
      </c>
      <c r="K1901" s="165">
        <v>49608</v>
      </c>
      <c r="L1901" s="245"/>
      <c r="M1901" s="230"/>
      <c r="N1901" s="253"/>
      <c r="O1901" s="256"/>
      <c r="P1901" s="162"/>
      <c r="Q1901" s="506"/>
      <c r="R1901" s="515"/>
      <c r="S1901" s="173"/>
      <c r="T1901" s="282" t="s">
        <v>713</v>
      </c>
      <c r="U1901" s="253"/>
    </row>
    <row r="1902" spans="1:21" outlineLevel="3">
      <c r="A1902" s="231"/>
      <c r="B1902" s="253">
        <v>52</v>
      </c>
      <c r="C1902" s="162" t="s">
        <v>796</v>
      </c>
      <c r="D1902" s="166"/>
      <c r="E1902" s="169"/>
      <c r="F1902" s="162"/>
      <c r="G1902" s="166"/>
      <c r="H1902" s="169"/>
      <c r="I1902" s="169"/>
      <c r="J1902" s="169"/>
      <c r="K1902" s="165">
        <v>239040</v>
      </c>
      <c r="L1902" s="245"/>
      <c r="M1902" s="230"/>
      <c r="N1902" s="253"/>
      <c r="O1902" s="256"/>
      <c r="P1902" s="162"/>
      <c r="Q1902" s="506"/>
      <c r="R1902" s="515"/>
      <c r="S1902" s="173"/>
      <c r="T1902" s="282" t="s">
        <v>713</v>
      </c>
      <c r="U1902" s="253"/>
    </row>
    <row r="1903" spans="1:21" outlineLevel="3">
      <c r="A1903" s="231"/>
      <c r="B1903" s="253">
        <v>57</v>
      </c>
      <c r="C1903" s="162" t="s">
        <v>797</v>
      </c>
      <c r="D1903" s="166"/>
      <c r="E1903" s="169"/>
      <c r="F1903" s="162"/>
      <c r="G1903" s="166"/>
      <c r="H1903" s="169"/>
      <c r="I1903" s="169" t="s">
        <v>514</v>
      </c>
      <c r="J1903" s="169"/>
      <c r="K1903" s="165">
        <v>28800</v>
      </c>
      <c r="L1903" s="245"/>
      <c r="M1903" s="230"/>
      <c r="N1903" s="253"/>
      <c r="O1903" s="256"/>
      <c r="P1903" s="162"/>
      <c r="Q1903" s="506"/>
      <c r="R1903" s="515"/>
      <c r="S1903" s="173"/>
      <c r="T1903" s="282" t="s">
        <v>713</v>
      </c>
      <c r="U1903" s="253"/>
    </row>
    <row r="1904" spans="1:21" outlineLevel="3">
      <c r="A1904" s="231"/>
      <c r="B1904" s="253">
        <v>53</v>
      </c>
      <c r="C1904" s="162" t="s">
        <v>798</v>
      </c>
      <c r="D1904" s="166"/>
      <c r="E1904" s="169"/>
      <c r="F1904" s="162"/>
      <c r="G1904" s="166"/>
      <c r="H1904" s="169"/>
      <c r="I1904" s="169"/>
      <c r="J1904" s="169"/>
      <c r="K1904" s="165">
        <v>41760</v>
      </c>
      <c r="L1904" s="245"/>
      <c r="M1904" s="230"/>
      <c r="N1904" s="253"/>
      <c r="O1904" s="256"/>
      <c r="P1904" s="162"/>
      <c r="Q1904" s="506"/>
      <c r="R1904" s="515"/>
      <c r="S1904" s="173"/>
      <c r="T1904" s="282" t="s">
        <v>713</v>
      </c>
      <c r="U1904" s="253"/>
    </row>
    <row r="1905" spans="1:21" outlineLevel="3">
      <c r="A1905" s="229"/>
      <c r="B1905" s="253">
        <v>47</v>
      </c>
      <c r="C1905" s="162" t="s">
        <v>800</v>
      </c>
      <c r="D1905" s="166"/>
      <c r="E1905" s="169"/>
      <c r="F1905" s="162"/>
      <c r="G1905" s="166"/>
      <c r="H1905" s="169"/>
      <c r="I1905" s="169"/>
      <c r="J1905" s="169"/>
      <c r="K1905" s="165">
        <v>16704</v>
      </c>
      <c r="L1905" s="245"/>
      <c r="M1905" s="230"/>
      <c r="N1905" s="253"/>
      <c r="O1905" s="256"/>
      <c r="P1905" s="162"/>
      <c r="Q1905" s="506"/>
      <c r="R1905" s="515"/>
      <c r="S1905" s="173"/>
      <c r="T1905" s="282" t="s">
        <v>713</v>
      </c>
      <c r="U1905" s="170"/>
    </row>
    <row r="1906" spans="1:21" outlineLevel="3">
      <c r="A1906" s="229"/>
      <c r="B1906" s="253">
        <v>48</v>
      </c>
      <c r="C1906" s="162" t="s">
        <v>801</v>
      </c>
      <c r="D1906" s="166"/>
      <c r="E1906" s="169"/>
      <c r="F1906" s="162"/>
      <c r="G1906" s="166"/>
      <c r="H1906" s="169"/>
      <c r="I1906" s="169"/>
      <c r="J1906" s="169"/>
      <c r="K1906" s="165">
        <v>60768</v>
      </c>
      <c r="L1906" s="245"/>
      <c r="M1906" s="230"/>
      <c r="N1906" s="253"/>
      <c r="O1906" s="256"/>
      <c r="P1906" s="162"/>
      <c r="Q1906" s="506"/>
      <c r="R1906" s="515"/>
      <c r="S1906" s="173"/>
      <c r="T1906" s="282" t="s">
        <v>713</v>
      </c>
      <c r="U1906" s="170"/>
    </row>
    <row r="1907" spans="1:21" outlineLevel="3">
      <c r="A1907" s="229"/>
      <c r="B1907" s="253">
        <v>58</v>
      </c>
      <c r="C1907" s="162" t="s">
        <v>802</v>
      </c>
      <c r="D1907" s="166"/>
      <c r="E1907" s="169"/>
      <c r="F1907" s="162"/>
      <c r="G1907" s="166"/>
      <c r="H1907" s="169"/>
      <c r="I1907" s="169"/>
      <c r="J1907" s="169"/>
      <c r="K1907" s="165">
        <v>79416</v>
      </c>
      <c r="L1907" s="245"/>
      <c r="M1907" s="230"/>
      <c r="N1907" s="253"/>
      <c r="O1907" s="256"/>
      <c r="P1907" s="162"/>
      <c r="Q1907" s="506"/>
      <c r="R1907" s="515"/>
      <c r="S1907" s="173"/>
      <c r="T1907" s="282" t="s">
        <v>713</v>
      </c>
      <c r="U1907" s="170"/>
    </row>
    <row r="1908" spans="1:21" outlineLevel="3">
      <c r="A1908" s="229"/>
      <c r="B1908" s="253">
        <v>55</v>
      </c>
      <c r="C1908" s="162" t="s">
        <v>803</v>
      </c>
      <c r="D1908" s="166"/>
      <c r="E1908" s="169"/>
      <c r="F1908" s="162"/>
      <c r="G1908" s="166"/>
      <c r="H1908" s="169"/>
      <c r="I1908" s="169"/>
      <c r="J1908" s="169"/>
      <c r="K1908" s="165">
        <v>42840</v>
      </c>
      <c r="L1908" s="245"/>
      <c r="M1908" s="230"/>
      <c r="N1908" s="253"/>
      <c r="O1908" s="256"/>
      <c r="P1908" s="162"/>
      <c r="Q1908" s="506"/>
      <c r="R1908" s="515"/>
      <c r="S1908" s="173"/>
      <c r="T1908" s="282" t="s">
        <v>713</v>
      </c>
      <c r="U1908" s="170"/>
    </row>
    <row r="1909" spans="1:21" outlineLevel="3">
      <c r="A1909" s="231"/>
      <c r="B1909" s="253">
        <v>64</v>
      </c>
      <c r="C1909" s="162" t="s">
        <v>804</v>
      </c>
      <c r="D1909" s="166"/>
      <c r="E1909" s="169"/>
      <c r="F1909" s="162"/>
      <c r="G1909" s="166"/>
      <c r="H1909" s="169"/>
      <c r="I1909" s="169"/>
      <c r="J1909" s="169"/>
      <c r="K1909" s="165">
        <v>82440</v>
      </c>
      <c r="L1909" s="245"/>
      <c r="M1909" s="230"/>
      <c r="N1909" s="253"/>
      <c r="O1909" s="256"/>
      <c r="P1909" s="162"/>
      <c r="Q1909" s="506"/>
      <c r="R1909" s="515"/>
      <c r="S1909" s="173"/>
      <c r="T1909" s="282" t="s">
        <v>713</v>
      </c>
      <c r="U1909" s="253"/>
    </row>
    <row r="1910" spans="1:21" outlineLevel="3">
      <c r="A1910" s="229"/>
      <c r="B1910" s="253">
        <v>56</v>
      </c>
      <c r="C1910" s="162" t="s">
        <v>805</v>
      </c>
      <c r="D1910" s="166"/>
      <c r="E1910" s="169"/>
      <c r="F1910" s="162"/>
      <c r="G1910" s="166"/>
      <c r="H1910" s="169"/>
      <c r="I1910" s="169"/>
      <c r="J1910" s="169"/>
      <c r="K1910" s="165">
        <v>40824</v>
      </c>
      <c r="L1910" s="245"/>
      <c r="M1910" s="230"/>
      <c r="N1910" s="253"/>
      <c r="O1910" s="256"/>
      <c r="P1910" s="162"/>
      <c r="Q1910" s="506"/>
      <c r="R1910" s="515"/>
      <c r="S1910" s="173"/>
      <c r="T1910" s="282" t="s">
        <v>713</v>
      </c>
      <c r="U1910" s="170"/>
    </row>
    <row r="1911" spans="1:21" outlineLevel="3">
      <c r="A1911" s="229"/>
      <c r="B1911" s="253">
        <v>56</v>
      </c>
      <c r="C1911" s="162" t="s">
        <v>806</v>
      </c>
      <c r="D1911" s="166"/>
      <c r="E1911" s="169"/>
      <c r="F1911" s="162"/>
      <c r="G1911" s="166"/>
      <c r="H1911" s="169"/>
      <c r="I1911" s="169"/>
      <c r="J1911" s="169"/>
      <c r="K1911" s="165">
        <v>38664</v>
      </c>
      <c r="L1911" s="245"/>
      <c r="M1911" s="230"/>
      <c r="N1911" s="253"/>
      <c r="O1911" s="256"/>
      <c r="P1911" s="162"/>
      <c r="Q1911" s="506"/>
      <c r="R1911" s="515"/>
      <c r="S1911" s="173"/>
      <c r="T1911" s="282" t="s">
        <v>713</v>
      </c>
      <c r="U1911" s="170"/>
    </row>
    <row r="1912" spans="1:21" outlineLevel="3">
      <c r="A1912" s="229"/>
      <c r="B1912" s="253">
        <v>57</v>
      </c>
      <c r="C1912" s="162" t="s">
        <v>807</v>
      </c>
      <c r="D1912" s="166"/>
      <c r="E1912" s="169"/>
      <c r="F1912" s="162"/>
      <c r="G1912" s="166"/>
      <c r="H1912" s="169"/>
      <c r="I1912" s="169"/>
      <c r="J1912" s="169"/>
      <c r="K1912" s="165">
        <v>35784</v>
      </c>
      <c r="L1912" s="245"/>
      <c r="M1912" s="230"/>
      <c r="N1912" s="253"/>
      <c r="O1912" s="256"/>
      <c r="P1912" s="162"/>
      <c r="Q1912" s="506"/>
      <c r="R1912" s="515"/>
      <c r="S1912" s="173"/>
      <c r="T1912" s="282" t="s">
        <v>713</v>
      </c>
      <c r="U1912" s="170"/>
    </row>
    <row r="1913" spans="1:21" outlineLevel="3">
      <c r="A1913" s="229"/>
      <c r="B1913" s="253">
        <v>54</v>
      </c>
      <c r="C1913" s="162" t="s">
        <v>808</v>
      </c>
      <c r="D1913" s="166"/>
      <c r="E1913" s="169"/>
      <c r="F1913" s="162"/>
      <c r="G1913" s="166"/>
      <c r="H1913" s="169"/>
      <c r="I1913" s="169"/>
      <c r="J1913" s="169"/>
      <c r="K1913" s="165">
        <v>68685</v>
      </c>
      <c r="L1913" s="245"/>
      <c r="M1913" s="230"/>
      <c r="N1913" s="253"/>
      <c r="O1913" s="256"/>
      <c r="P1913" s="162"/>
      <c r="Q1913" s="506"/>
      <c r="R1913" s="515"/>
      <c r="S1913" s="173"/>
      <c r="T1913" s="282" t="s">
        <v>713</v>
      </c>
      <c r="U1913" s="170"/>
    </row>
    <row r="1914" spans="1:21" outlineLevel="3">
      <c r="A1914" s="229"/>
      <c r="B1914" s="253">
        <v>55</v>
      </c>
      <c r="C1914" s="162" t="s">
        <v>809</v>
      </c>
      <c r="D1914" s="166"/>
      <c r="E1914" s="169"/>
      <c r="F1914" s="162"/>
      <c r="G1914" s="166"/>
      <c r="H1914" s="169"/>
      <c r="I1914" s="169"/>
      <c r="J1914" s="169"/>
      <c r="K1914" s="165">
        <v>59040</v>
      </c>
      <c r="L1914" s="245"/>
      <c r="M1914" s="230"/>
      <c r="N1914" s="253"/>
      <c r="O1914" s="256"/>
      <c r="P1914" s="162"/>
      <c r="Q1914" s="506"/>
      <c r="R1914" s="515"/>
      <c r="S1914" s="173"/>
      <c r="T1914" s="282" t="s">
        <v>713</v>
      </c>
      <c r="U1914" s="170"/>
    </row>
    <row r="1915" spans="1:21" outlineLevel="3">
      <c r="A1915" s="229"/>
      <c r="B1915" s="253">
        <v>56</v>
      </c>
      <c r="C1915" s="162" t="s">
        <v>810</v>
      </c>
      <c r="D1915" s="166"/>
      <c r="E1915" s="169"/>
      <c r="F1915" s="162"/>
      <c r="G1915" s="166"/>
      <c r="H1915" s="169"/>
      <c r="I1915" s="169"/>
      <c r="J1915" s="169"/>
      <c r="K1915" s="165">
        <v>41184</v>
      </c>
      <c r="L1915" s="245"/>
      <c r="M1915" s="230"/>
      <c r="N1915" s="253"/>
      <c r="O1915" s="256"/>
      <c r="P1915" s="162"/>
      <c r="Q1915" s="506"/>
      <c r="R1915" s="515"/>
      <c r="S1915" s="173"/>
      <c r="T1915" s="282" t="s">
        <v>713</v>
      </c>
      <c r="U1915" s="170"/>
    </row>
    <row r="1916" spans="1:21" outlineLevel="3">
      <c r="A1916" s="229"/>
      <c r="B1916" s="253">
        <v>55</v>
      </c>
      <c r="C1916" s="162" t="s">
        <v>811</v>
      </c>
      <c r="D1916" s="166"/>
      <c r="E1916" s="169"/>
      <c r="F1916" s="162"/>
      <c r="G1916" s="166"/>
      <c r="H1916" s="169"/>
      <c r="I1916" s="169"/>
      <c r="J1916" s="169"/>
      <c r="K1916" s="165">
        <v>22176</v>
      </c>
      <c r="L1916" s="245"/>
      <c r="M1916" s="230"/>
      <c r="N1916" s="253"/>
      <c r="O1916" s="256"/>
      <c r="P1916" s="162"/>
      <c r="Q1916" s="506"/>
      <c r="R1916" s="515"/>
      <c r="S1916" s="173"/>
      <c r="T1916" s="282" t="s">
        <v>713</v>
      </c>
      <c r="U1916" s="170"/>
    </row>
    <row r="1917" spans="1:21" outlineLevel="3">
      <c r="A1917" s="231"/>
      <c r="B1917" s="253">
        <v>54</v>
      </c>
      <c r="C1917" s="162" t="s">
        <v>812</v>
      </c>
      <c r="D1917" s="166"/>
      <c r="E1917" s="169"/>
      <c r="F1917" s="162"/>
      <c r="G1917" s="166"/>
      <c r="H1917" s="169"/>
      <c r="I1917" s="169"/>
      <c r="J1917" s="169"/>
      <c r="K1917" s="165">
        <v>33552</v>
      </c>
      <c r="L1917" s="245"/>
      <c r="M1917" s="230"/>
      <c r="N1917" s="253"/>
      <c r="O1917" s="256"/>
      <c r="P1917" s="162"/>
      <c r="Q1917" s="506"/>
      <c r="R1917" s="515"/>
      <c r="S1917" s="173"/>
      <c r="T1917" s="282" t="s">
        <v>713</v>
      </c>
      <c r="U1917" s="253"/>
    </row>
    <row r="1918" spans="1:21" outlineLevel="3">
      <c r="A1918" s="231"/>
      <c r="B1918" s="253"/>
      <c r="C1918" s="384" t="s">
        <v>990</v>
      </c>
      <c r="D1918" s="166"/>
      <c r="E1918" s="169"/>
      <c r="F1918" s="162"/>
      <c r="G1918" s="166"/>
      <c r="H1918" s="169"/>
      <c r="I1918" s="169"/>
      <c r="J1918" s="169"/>
      <c r="K1918" s="248">
        <f>SUM(K1896:K1917)</f>
        <v>2231005</v>
      </c>
      <c r="L1918" s="245"/>
      <c r="M1918" s="230"/>
      <c r="N1918" s="253"/>
      <c r="O1918" s="256"/>
      <c r="P1918" s="162"/>
      <c r="Q1918" s="506"/>
      <c r="R1918" s="515"/>
      <c r="S1918" s="173"/>
      <c r="T1918" s="282"/>
      <c r="U1918" s="253"/>
    </row>
    <row r="1919" spans="1:21" s="286" customFormat="1" outlineLevel="3">
      <c r="A1919" s="468"/>
      <c r="B1919" s="285">
        <v>76</v>
      </c>
      <c r="C1919" s="283" t="s">
        <v>813</v>
      </c>
      <c r="D1919" s="350"/>
      <c r="E1919" s="237"/>
      <c r="F1919" s="283"/>
      <c r="G1919" s="350"/>
      <c r="H1919" s="237"/>
      <c r="I1919" s="237"/>
      <c r="J1919" s="237" t="s">
        <v>514</v>
      </c>
      <c r="K1919" s="217">
        <v>146808</v>
      </c>
      <c r="L1919" s="394"/>
      <c r="M1919" s="509"/>
      <c r="N1919" s="285"/>
      <c r="O1919" s="239"/>
      <c r="P1919" s="283"/>
      <c r="Q1919" s="497"/>
      <c r="R1919" s="518"/>
      <c r="S1919" s="284"/>
      <c r="T1919" s="381"/>
      <c r="U1919" s="285"/>
    </row>
    <row r="1920" spans="1:21" s="286" customFormat="1" outlineLevel="3">
      <c r="A1920" s="468"/>
      <c r="B1920" s="285">
        <v>75</v>
      </c>
      <c r="C1920" s="283" t="s">
        <v>814</v>
      </c>
      <c r="D1920" s="350"/>
      <c r="E1920" s="237"/>
      <c r="F1920" s="283"/>
      <c r="G1920" s="350"/>
      <c r="H1920" s="237"/>
      <c r="I1920" s="237"/>
      <c r="J1920" s="237"/>
      <c r="K1920" s="217">
        <v>412776</v>
      </c>
      <c r="L1920" s="394"/>
      <c r="M1920" s="509"/>
      <c r="N1920" s="285"/>
      <c r="O1920" s="239"/>
      <c r="P1920" s="283"/>
      <c r="Q1920" s="497"/>
      <c r="R1920" s="518"/>
      <c r="S1920" s="284"/>
      <c r="T1920" s="381"/>
      <c r="U1920" s="285"/>
    </row>
    <row r="1921" spans="1:23" s="286" customFormat="1" outlineLevel="3">
      <c r="A1921" s="468"/>
      <c r="B1921" s="285">
        <v>45</v>
      </c>
      <c r="C1921" s="283" t="s">
        <v>799</v>
      </c>
      <c r="D1921" s="350"/>
      <c r="E1921" s="237"/>
      <c r="F1921" s="283"/>
      <c r="G1921" s="350"/>
      <c r="H1921" s="237"/>
      <c r="I1921" s="237"/>
      <c r="J1921" s="237"/>
      <c r="K1921" s="217">
        <v>65736</v>
      </c>
      <c r="L1921" s="394"/>
      <c r="M1921" s="509"/>
      <c r="N1921" s="285"/>
      <c r="O1921" s="239"/>
      <c r="P1921" s="283"/>
      <c r="Q1921" s="497"/>
      <c r="R1921" s="518"/>
      <c r="S1921" s="284"/>
      <c r="T1921" s="381"/>
      <c r="U1921" s="285"/>
    </row>
    <row r="1922" spans="1:23" s="286" customFormat="1" outlineLevel="3">
      <c r="A1922" s="468"/>
      <c r="B1922" s="285">
        <v>71</v>
      </c>
      <c r="C1922" s="283" t="s">
        <v>1023</v>
      </c>
      <c r="D1922" s="350"/>
      <c r="E1922" s="237"/>
      <c r="F1922" s="283"/>
      <c r="G1922" s="350"/>
      <c r="H1922" s="237"/>
      <c r="I1922" s="237"/>
      <c r="J1922" s="237"/>
      <c r="K1922" s="217">
        <v>127872</v>
      </c>
      <c r="L1922" s="394"/>
      <c r="M1922" s="509"/>
      <c r="N1922" s="285"/>
      <c r="O1922" s="239"/>
      <c r="P1922" s="283"/>
      <c r="Q1922" s="497"/>
      <c r="R1922" s="518"/>
      <c r="S1922" s="284"/>
      <c r="T1922" s="381"/>
      <c r="U1922" s="285"/>
    </row>
    <row r="1923" spans="1:23" s="286" customFormat="1" outlineLevel="3">
      <c r="A1923" s="468"/>
      <c r="B1923" s="285"/>
      <c r="C1923" s="384" t="s">
        <v>1132</v>
      </c>
      <c r="D1923" s="350"/>
      <c r="E1923" s="237"/>
      <c r="F1923" s="283"/>
      <c r="G1923" s="350"/>
      <c r="H1923" s="237"/>
      <c r="I1923" s="237"/>
      <c r="J1923" s="237"/>
      <c r="K1923" s="252">
        <f>SUM(K1919:K1922)</f>
        <v>753192</v>
      </c>
      <c r="L1923" s="394"/>
      <c r="M1923" s="509"/>
      <c r="N1923" s="285"/>
      <c r="O1923" s="239"/>
      <c r="P1923" s="283"/>
      <c r="Q1923" s="497"/>
      <c r="R1923" s="518"/>
      <c r="S1923" s="284"/>
      <c r="T1923" s="381"/>
      <c r="U1923" s="285"/>
    </row>
    <row r="1924" spans="1:23" s="286" customFormat="1" outlineLevel="2">
      <c r="A1924" s="468"/>
      <c r="B1924" s="285"/>
      <c r="C1924" s="382" t="s">
        <v>992</v>
      </c>
      <c r="D1924" s="350"/>
      <c r="E1924" s="237"/>
      <c r="F1924" s="283"/>
      <c r="G1924" s="350"/>
      <c r="H1924" s="237"/>
      <c r="I1924" s="237"/>
      <c r="J1924" s="237"/>
      <c r="K1924" s="252">
        <f>SUM(K1918,K1923)</f>
        <v>2984197</v>
      </c>
      <c r="L1924" s="394"/>
      <c r="M1924" s="509"/>
      <c r="N1924" s="285"/>
      <c r="O1924" s="239"/>
      <c r="P1924" s="283"/>
      <c r="Q1924" s="497"/>
      <c r="R1924" s="518"/>
      <c r="S1924" s="284"/>
      <c r="T1924" s="381"/>
      <c r="U1924" s="285"/>
    </row>
    <row r="1925" spans="1:23" s="286" customFormat="1" outlineLevel="1">
      <c r="A1925" s="468"/>
      <c r="B1925" s="285"/>
      <c r="C1925" s="382" t="s">
        <v>711</v>
      </c>
      <c r="D1925" s="385"/>
      <c r="E1925" s="386"/>
      <c r="F1925" s="382"/>
      <c r="G1925" s="383">
        <f>CIP!$AR$17</f>
        <v>200000</v>
      </c>
      <c r="H1925" s="251">
        <f>CIP!$AS$44</f>
        <v>0</v>
      </c>
      <c r="I1925" s="251">
        <f>CIP!$AT$66</f>
        <v>0</v>
      </c>
      <c r="J1925" s="251">
        <f>CIP!$AU$104</f>
        <v>0</v>
      </c>
      <c r="K1925" s="252">
        <f>CIP!$AV$119</f>
        <v>0</v>
      </c>
      <c r="L1925" s="226">
        <f>SUM(G1925:K1925)</f>
        <v>200000</v>
      </c>
      <c r="M1925" s="202">
        <v>14000000</v>
      </c>
      <c r="N1925" s="250">
        <f t="shared" ref="N1925:N1926" si="132">M1925*1.23</f>
        <v>17220000</v>
      </c>
      <c r="O1925" s="202">
        <v>14000000</v>
      </c>
      <c r="P1925" s="248">
        <f t="shared" ref="P1925:P1926" si="133">O1925*1.46</f>
        <v>20440000</v>
      </c>
      <c r="Q1925" s="238">
        <v>14000000</v>
      </c>
      <c r="R1925" s="255">
        <f t="shared" ref="R1925:R1926" si="134">Q1925*1.73</f>
        <v>24220000</v>
      </c>
      <c r="S1925" s="159">
        <f t="shared" ref="S1925:S1929" si="135">SUM(L1925,N1925,P1925,R1925)</f>
        <v>62080000</v>
      </c>
      <c r="T1925" s="284"/>
      <c r="U1925" s="285"/>
    </row>
    <row r="1926" spans="1:23" s="286" customFormat="1" outlineLevel="1">
      <c r="A1926" s="468"/>
      <c r="B1926" s="469"/>
      <c r="C1926" s="313" t="s">
        <v>1139</v>
      </c>
      <c r="D1926" s="385"/>
      <c r="E1926" s="386"/>
      <c r="F1926" s="382"/>
      <c r="G1926" s="383"/>
      <c r="H1926" s="251">
        <f>CIP!$AS$61</f>
        <v>0</v>
      </c>
      <c r="I1926" s="251">
        <f>CIP!$AT$86</f>
        <v>0</v>
      </c>
      <c r="J1926" s="251">
        <f>CIP!$AU$107</f>
        <v>0</v>
      </c>
      <c r="K1926" s="251">
        <f>CIP!$AV$130</f>
        <v>0</v>
      </c>
      <c r="L1926" s="226">
        <f>SUM(G1926:K1926)</f>
        <v>0</v>
      </c>
      <c r="M1926" s="202">
        <v>325000</v>
      </c>
      <c r="N1926" s="250">
        <f t="shared" si="132"/>
        <v>399750</v>
      </c>
      <c r="O1926" s="202">
        <v>325000</v>
      </c>
      <c r="P1926" s="248">
        <f t="shared" si="133"/>
        <v>474500</v>
      </c>
      <c r="Q1926" s="238">
        <v>325000</v>
      </c>
      <c r="R1926" s="255">
        <f t="shared" si="134"/>
        <v>562250</v>
      </c>
      <c r="S1926" s="159">
        <f t="shared" si="135"/>
        <v>1436500</v>
      </c>
      <c r="T1926" s="284"/>
      <c r="U1926" s="285"/>
    </row>
    <row r="1927" spans="1:23" ht="16.5" customHeight="1" outlineLevel="1">
      <c r="A1927" s="288"/>
      <c r="B1927" s="289"/>
      <c r="C1927" s="151" t="s">
        <v>815</v>
      </c>
      <c r="D1927" s="360"/>
      <c r="E1927" s="244"/>
      <c r="F1927" s="248"/>
      <c r="G1927" s="249">
        <f>CIP!$AR$21</f>
        <v>750000</v>
      </c>
      <c r="H1927" s="244"/>
      <c r="I1927" s="244"/>
      <c r="J1927" s="244"/>
      <c r="K1927" s="255"/>
      <c r="L1927" s="278">
        <f t="shared" ref="L1927" si="136">SUM(G1927:K1927)</f>
        <v>750000</v>
      </c>
      <c r="M1927" s="508"/>
      <c r="N1927" s="387"/>
      <c r="O1927" s="511"/>
      <c r="P1927" s="388"/>
      <c r="Q1927" s="513"/>
      <c r="R1927" s="519"/>
      <c r="S1927" s="159">
        <f t="shared" si="135"/>
        <v>750000</v>
      </c>
      <c r="T1927" s="281"/>
      <c r="U1927" s="419" t="s">
        <v>1084</v>
      </c>
    </row>
    <row r="1928" spans="1:23" ht="16.5" customHeight="1" outlineLevel="1">
      <c r="A1928" s="288"/>
      <c r="B1928" s="289"/>
      <c r="C1928" s="151" t="s">
        <v>1149</v>
      </c>
      <c r="D1928" s="360"/>
      <c r="E1928" s="244"/>
      <c r="F1928" s="248"/>
      <c r="G1928" s="301"/>
      <c r="H1928" s="244"/>
      <c r="I1928" s="244">
        <f>CIP!$AT$91</f>
        <v>0</v>
      </c>
      <c r="J1928" s="244"/>
      <c r="K1928" s="403"/>
      <c r="L1928" s="278">
        <f>SUM(G1928:K1928)</f>
        <v>0</v>
      </c>
      <c r="M1928" s="508"/>
      <c r="N1928" s="387"/>
      <c r="O1928" s="508"/>
      <c r="P1928" s="470"/>
      <c r="Q1928" s="514"/>
      <c r="R1928" s="519"/>
      <c r="S1928" s="159">
        <f t="shared" si="135"/>
        <v>0</v>
      </c>
      <c r="T1928" s="281"/>
      <c r="U1928" s="419"/>
    </row>
    <row r="1929" spans="1:23" ht="16.5" customHeight="1">
      <c r="A1929" s="288"/>
      <c r="B1929" s="289"/>
      <c r="C1929" s="198" t="s">
        <v>816</v>
      </c>
      <c r="D1929" s="351"/>
      <c r="E1929" s="164"/>
      <c r="F1929" s="165"/>
      <c r="G1929" s="249">
        <f>SUM(G1925:G1928)</f>
        <v>950000</v>
      </c>
      <c r="H1929" s="244">
        <f>SUM(H1925:H1928)</f>
        <v>0</v>
      </c>
      <c r="I1929" s="244">
        <f>SUM(I1925:I1928)</f>
        <v>0</v>
      </c>
      <c r="J1929" s="244">
        <f>SUM(J1925:J1928)</f>
        <v>0</v>
      </c>
      <c r="K1929" s="255">
        <f>SUM(K1925:K1928)</f>
        <v>0</v>
      </c>
      <c r="L1929" s="159">
        <f>SUM(G1929:K1929)</f>
        <v>950000</v>
      </c>
      <c r="M1929" s="156">
        <f>SUM(M1925:M1927)</f>
        <v>14325000</v>
      </c>
      <c r="N1929" s="250">
        <f t="shared" ref="N1929" si="137">M1929*1.23</f>
        <v>17619750</v>
      </c>
      <c r="O1929" s="156">
        <f t="shared" ref="O1929:Q1929" si="138">SUM(O1925:O1927)</f>
        <v>14325000</v>
      </c>
      <c r="P1929" s="248">
        <f t="shared" ref="P1929" si="139">O1929*1.46</f>
        <v>20914500</v>
      </c>
      <c r="Q1929" s="259">
        <f t="shared" si="138"/>
        <v>14325000</v>
      </c>
      <c r="R1929" s="255">
        <f t="shared" ref="R1929" si="140">Q1929*1.73</f>
        <v>24782250</v>
      </c>
      <c r="S1929" s="159">
        <f t="shared" si="135"/>
        <v>64266500</v>
      </c>
      <c r="T1929" s="225"/>
      <c r="U1929" s="280"/>
      <c r="W1929" t="s">
        <v>514</v>
      </c>
    </row>
    <row r="1930" spans="1:23" outlineLevel="1">
      <c r="A1930" s="229" t="s">
        <v>817</v>
      </c>
      <c r="B1930" s="163"/>
      <c r="C1930" s="330"/>
      <c r="D1930" s="352"/>
      <c r="E1930" s="164"/>
      <c r="F1930" s="165"/>
      <c r="G1930" s="172"/>
      <c r="H1930" s="164"/>
      <c r="I1930" s="164"/>
      <c r="J1930" s="164"/>
      <c r="K1930" s="223"/>
      <c r="L1930" s="159"/>
      <c r="M1930" s="156"/>
      <c r="N1930" s="250"/>
      <c r="O1930" s="157"/>
      <c r="P1930" s="248"/>
      <c r="Q1930" s="158"/>
      <c r="R1930" s="255"/>
      <c r="S1930" s="159"/>
      <c r="T1930" s="225"/>
      <c r="U1930" s="263"/>
    </row>
    <row r="1931" spans="1:23" ht="18.75" outlineLevel="1">
      <c r="A1931" s="288"/>
      <c r="B1931" s="151" t="s">
        <v>818</v>
      </c>
      <c r="C1931" s="151"/>
      <c r="D1931" s="351"/>
      <c r="E1931" s="244"/>
      <c r="F1931" s="248"/>
      <c r="G1931" s="249"/>
      <c r="H1931" s="244"/>
      <c r="I1931" s="244"/>
      <c r="J1931" s="244"/>
      <c r="K1931" s="255"/>
      <c r="L1931" s="159"/>
      <c r="M1931" s="156"/>
      <c r="N1931" s="250"/>
      <c r="O1931" s="157"/>
      <c r="P1931" s="248"/>
      <c r="Q1931" s="158"/>
      <c r="R1931" s="255"/>
      <c r="S1931" s="159"/>
      <c r="T1931" s="225"/>
      <c r="U1931" s="263"/>
    </row>
    <row r="1932" spans="1:23" ht="18.75" outlineLevel="1">
      <c r="A1932" s="288"/>
      <c r="B1932" s="163"/>
      <c r="C1932" s="151" t="s">
        <v>1079</v>
      </c>
      <c r="D1932" s="351"/>
      <c r="E1932" s="244"/>
      <c r="F1932" s="248"/>
      <c r="G1932" s="197"/>
      <c r="H1932" s="157"/>
      <c r="I1932" s="157"/>
      <c r="J1932" s="157">
        <f>CIP!$AU$112</f>
        <v>0</v>
      </c>
      <c r="K1932" s="255"/>
      <c r="L1932" s="159">
        <f>SUM(G1932:K1932)</f>
        <v>0</v>
      </c>
      <c r="M1932" s="156"/>
      <c r="N1932" s="250"/>
      <c r="O1932" s="157"/>
      <c r="P1932" s="248"/>
      <c r="Q1932" s="158"/>
      <c r="R1932" s="255"/>
      <c r="S1932" s="159">
        <f t="shared" ref="S1932" si="141">SUM(L1932,N1932,P1932,R1932)</f>
        <v>0</v>
      </c>
      <c r="T1932" s="225"/>
      <c r="U1932" s="263"/>
    </row>
    <row r="1933" spans="1:23" ht="18.75" outlineLevel="1">
      <c r="A1933" s="288"/>
      <c r="B1933" s="163"/>
      <c r="C1933" s="151" t="s">
        <v>1082</v>
      </c>
      <c r="D1933" s="351"/>
      <c r="E1933" s="244"/>
      <c r="F1933" s="248"/>
      <c r="G1933" s="197"/>
      <c r="H1933" s="157"/>
      <c r="I1933" s="157"/>
      <c r="J1933" s="157"/>
      <c r="K1933" s="215"/>
      <c r="L1933" s="159"/>
      <c r="M1933" s="156"/>
      <c r="N1933" s="250"/>
      <c r="O1933" s="157"/>
      <c r="P1933" s="248"/>
      <c r="Q1933" s="158"/>
      <c r="R1933" s="255"/>
      <c r="S1933" s="159"/>
      <c r="T1933" s="225"/>
      <c r="U1933" s="263"/>
    </row>
    <row r="1934" spans="1:23" ht="18.75" outlineLevel="1">
      <c r="A1934" s="288"/>
      <c r="B1934" s="151" t="s">
        <v>819</v>
      </c>
      <c r="C1934" s="151"/>
      <c r="D1934" s="351"/>
      <c r="E1934" s="244"/>
      <c r="F1934" s="248"/>
      <c r="G1934" s="197"/>
      <c r="H1934" s="157"/>
      <c r="I1934" s="157"/>
      <c r="J1934" s="157"/>
      <c r="K1934" s="255"/>
      <c r="L1934" s="159"/>
      <c r="M1934" s="156"/>
      <c r="N1934" s="250"/>
      <c r="O1934" s="157"/>
      <c r="P1934" s="248"/>
      <c r="Q1934" s="158"/>
      <c r="R1934" s="255"/>
      <c r="S1934" s="159"/>
      <c r="T1934" s="225"/>
      <c r="U1934" s="263"/>
    </row>
    <row r="1935" spans="1:23" ht="18.75" outlineLevel="1">
      <c r="A1935" s="288"/>
      <c r="B1935" s="163"/>
      <c r="C1935" s="151" t="s">
        <v>1080</v>
      </c>
      <c r="D1935" s="351"/>
      <c r="E1935" s="244"/>
      <c r="F1935" s="248"/>
      <c r="G1935" s="197"/>
      <c r="H1935" s="157"/>
      <c r="I1935" s="157"/>
      <c r="J1935" s="157"/>
      <c r="K1935" s="255"/>
      <c r="L1935" s="159"/>
      <c r="M1935" s="156"/>
      <c r="N1935" s="250"/>
      <c r="O1935" s="157"/>
      <c r="P1935" s="248"/>
      <c r="Q1935" s="158"/>
      <c r="R1935" s="255"/>
      <c r="S1935" s="159"/>
      <c r="T1935" s="225"/>
      <c r="U1935" s="263"/>
    </row>
    <row r="1936" spans="1:23" ht="18.75" outlineLevel="1">
      <c r="A1936" s="288"/>
      <c r="B1936" s="163"/>
      <c r="C1936" s="151" t="s">
        <v>1083</v>
      </c>
      <c r="D1936" s="351"/>
      <c r="E1936" s="244"/>
      <c r="F1936" s="248"/>
      <c r="G1936" s="197"/>
      <c r="H1936" s="157"/>
      <c r="I1936" s="157"/>
      <c r="J1936" s="157"/>
      <c r="K1936" s="255"/>
      <c r="L1936" s="159"/>
      <c r="M1936" s="156"/>
      <c r="N1936" s="250"/>
      <c r="O1936" s="157"/>
      <c r="P1936" s="248"/>
      <c r="Q1936" s="158"/>
      <c r="R1936" s="255"/>
      <c r="S1936" s="159"/>
      <c r="T1936" s="225"/>
      <c r="U1936" s="263"/>
    </row>
    <row r="1937" spans="1:23" ht="18.75" outlineLevel="1">
      <c r="A1937" s="288"/>
      <c r="B1937" s="151" t="s">
        <v>820</v>
      </c>
      <c r="C1937" s="151"/>
      <c r="D1937" s="351"/>
      <c r="E1937" s="244"/>
      <c r="F1937" s="248"/>
      <c r="G1937" s="197"/>
      <c r="H1937" s="157"/>
      <c r="I1937" s="157"/>
      <c r="J1937" s="157"/>
      <c r="K1937" s="255"/>
      <c r="L1937" s="159"/>
      <c r="M1937" s="156"/>
      <c r="N1937" s="250"/>
      <c r="O1937" s="157"/>
      <c r="P1937" s="248"/>
      <c r="Q1937" s="158"/>
      <c r="R1937" s="255"/>
      <c r="S1937" s="159"/>
      <c r="T1937" s="225"/>
      <c r="U1937" s="263"/>
    </row>
    <row r="1938" spans="1:23" ht="18.75" outlineLevel="1">
      <c r="A1938" s="288"/>
      <c r="B1938" s="163"/>
      <c r="C1938" s="151" t="s">
        <v>1081</v>
      </c>
      <c r="D1938" s="351"/>
      <c r="E1938" s="244"/>
      <c r="F1938" s="248"/>
      <c r="G1938" s="249"/>
      <c r="H1938" s="244"/>
      <c r="I1938" s="244"/>
      <c r="J1938" s="157"/>
      <c r="K1938" s="255"/>
      <c r="L1938" s="159"/>
      <c r="M1938" s="157"/>
      <c r="N1938" s="250"/>
      <c r="O1938" s="157"/>
      <c r="P1938" s="248"/>
      <c r="Q1938" s="158"/>
      <c r="R1938" s="255"/>
      <c r="S1938" s="159"/>
      <c r="T1938" s="225"/>
      <c r="U1938" s="263"/>
    </row>
    <row r="1939" spans="1:23" ht="18.75" outlineLevel="1">
      <c r="A1939" s="288"/>
      <c r="B1939" s="163"/>
      <c r="C1939" s="151" t="s">
        <v>821</v>
      </c>
      <c r="D1939" s="351"/>
      <c r="E1939" s="244"/>
      <c r="F1939" s="248"/>
      <c r="G1939" s="197" t="e">
        <f>CIP!#REF!</f>
        <v>#REF!</v>
      </c>
      <c r="H1939" s="157" t="e">
        <f>CIP!#REF!</f>
        <v>#REF!</v>
      </c>
      <c r="I1939" s="157" t="e">
        <f>CIP!#REF!</f>
        <v>#REF!</v>
      </c>
      <c r="J1939" s="157" t="e">
        <f>CIP!#REF!</f>
        <v>#REF!</v>
      </c>
      <c r="K1939" s="215" t="e">
        <f>CIP!#REF!</f>
        <v>#REF!</v>
      </c>
      <c r="L1939" s="159" t="e">
        <f>SUM(G1939:K1939)</f>
        <v>#REF!</v>
      </c>
      <c r="M1939" s="156"/>
      <c r="N1939" s="250"/>
      <c r="O1939" s="157"/>
      <c r="P1939" s="248"/>
      <c r="Q1939" s="158"/>
      <c r="R1939" s="255"/>
      <c r="S1939" s="159" t="e">
        <f t="shared" ref="S1939:S1945" si="142">SUM(L1939,N1939,P1939,R1939)</f>
        <v>#REF!</v>
      </c>
      <c r="T1939" s="225"/>
      <c r="U1939" s="263"/>
    </row>
    <row r="1940" spans="1:23" ht="16.5" customHeight="1">
      <c r="A1940" s="288"/>
      <c r="B1940" s="289"/>
      <c r="C1940" s="198" t="s">
        <v>822</v>
      </c>
      <c r="D1940" s="351"/>
      <c r="E1940" s="244"/>
      <c r="F1940" s="248"/>
      <c r="G1940" s="249" t="e">
        <f>SUM(G1931:G1939)</f>
        <v>#REF!</v>
      </c>
      <c r="H1940" s="244" t="e">
        <f t="shared" ref="H1940:K1940" si="143">SUM(H1931:H1939)</f>
        <v>#REF!</v>
      </c>
      <c r="I1940" s="244" t="e">
        <f t="shared" si="143"/>
        <v>#REF!</v>
      </c>
      <c r="J1940" s="244" t="e">
        <f t="shared" si="143"/>
        <v>#REF!</v>
      </c>
      <c r="K1940" s="255" t="e">
        <f t="shared" si="143"/>
        <v>#REF!</v>
      </c>
      <c r="L1940" s="159" t="e">
        <f>SUM(G1940:K1940)</f>
        <v>#REF!</v>
      </c>
      <c r="M1940" s="156">
        <v>500000</v>
      </c>
      <c r="N1940" s="250">
        <f>M1940*1.23</f>
        <v>615000</v>
      </c>
      <c r="O1940" s="157">
        <v>500000</v>
      </c>
      <c r="P1940" s="248">
        <f>O1940*1.46</f>
        <v>730000</v>
      </c>
      <c r="Q1940" s="158">
        <v>500000</v>
      </c>
      <c r="R1940" s="255">
        <f>Q1940*1.73</f>
        <v>865000</v>
      </c>
      <c r="S1940" s="159" t="e">
        <f t="shared" si="142"/>
        <v>#REF!</v>
      </c>
      <c r="T1940" s="225"/>
      <c r="U1940" s="263"/>
    </row>
    <row r="1941" spans="1:23" outlineLevel="1">
      <c r="A1941" s="229" t="s">
        <v>823</v>
      </c>
      <c r="B1941" s="163"/>
      <c r="C1941" s="198"/>
      <c r="D1941" s="352"/>
      <c r="E1941" s="164"/>
      <c r="F1941" s="165"/>
      <c r="G1941" s="172"/>
      <c r="H1941" s="164"/>
      <c r="I1941" s="164"/>
      <c r="J1941" s="164"/>
      <c r="K1941" s="223"/>
      <c r="L1941" s="159"/>
      <c r="M1941" s="156"/>
      <c r="N1941" s="250"/>
      <c r="O1941" s="157"/>
      <c r="P1941" s="248"/>
      <c r="Q1941" s="158"/>
      <c r="R1941" s="255"/>
      <c r="S1941" s="159"/>
      <c r="T1941" s="225"/>
      <c r="U1941" s="263"/>
    </row>
    <row r="1942" spans="1:23" outlineLevel="1">
      <c r="A1942" s="231"/>
      <c r="B1942" s="163"/>
      <c r="C1942" s="151" t="s">
        <v>824</v>
      </c>
      <c r="D1942" s="352"/>
      <c r="E1942" s="164"/>
      <c r="F1942" s="165"/>
      <c r="G1942" s="172">
        <f>CIP!$AR$40</f>
        <v>0</v>
      </c>
      <c r="H1942" s="164">
        <f>CIP!$AS$59</f>
        <v>0</v>
      </c>
      <c r="I1942" s="164">
        <f>CIP!$AT$87</f>
        <v>0</v>
      </c>
      <c r="J1942" s="164">
        <f>CIP!$AU$114</f>
        <v>0</v>
      </c>
      <c r="K1942" s="223">
        <f>CIP!$AV$140</f>
        <v>0</v>
      </c>
      <c r="L1942" s="159">
        <f>SUM(G1942:K1942)</f>
        <v>0</v>
      </c>
      <c r="M1942" s="156">
        <v>750000</v>
      </c>
      <c r="N1942" s="250">
        <f>M1942*1.23</f>
        <v>922500</v>
      </c>
      <c r="O1942" s="157">
        <v>750000</v>
      </c>
      <c r="P1942" s="248">
        <f>O1942*1.46</f>
        <v>1095000</v>
      </c>
      <c r="Q1942" s="158">
        <v>750000</v>
      </c>
      <c r="R1942" s="255">
        <f>Q1942*1.73</f>
        <v>1297500</v>
      </c>
      <c r="S1942" s="159">
        <f t="shared" si="142"/>
        <v>3315000</v>
      </c>
      <c r="T1942" s="225"/>
      <c r="U1942" s="263"/>
    </row>
    <row r="1943" spans="1:23" outlineLevel="1">
      <c r="A1943" s="231"/>
      <c r="B1943" s="163"/>
      <c r="C1943" s="151" t="s">
        <v>1106</v>
      </c>
      <c r="D1943" s="352"/>
      <c r="E1943" s="164"/>
      <c r="F1943" s="165"/>
      <c r="G1943" s="172">
        <f>CIP!$AR$45</f>
        <v>0</v>
      </c>
      <c r="H1943" s="164">
        <f>CIP!$AS$68</f>
        <v>0</v>
      </c>
      <c r="I1943" s="164"/>
      <c r="J1943" s="164">
        <f>CIP!$AU$84</f>
        <v>0</v>
      </c>
      <c r="K1943" s="223">
        <f>CIP!$AV$98</f>
        <v>0</v>
      </c>
      <c r="L1943" s="159">
        <f>SUM(G1943:K1943)</f>
        <v>0</v>
      </c>
      <c r="M1943" s="156">
        <v>300000</v>
      </c>
      <c r="N1943" s="250">
        <f>M1943*1.23</f>
        <v>369000</v>
      </c>
      <c r="O1943" s="156">
        <v>300000</v>
      </c>
      <c r="P1943" s="248">
        <f>O1943*1.46</f>
        <v>438000</v>
      </c>
      <c r="Q1943" s="156">
        <v>300000</v>
      </c>
      <c r="R1943" s="255">
        <f>Q1943*1.73</f>
        <v>519000</v>
      </c>
      <c r="S1943" s="159">
        <f t="shared" si="142"/>
        <v>1326000</v>
      </c>
      <c r="T1943" s="290" t="s">
        <v>366</v>
      </c>
      <c r="U1943" s="263"/>
    </row>
    <row r="1944" spans="1:23" outlineLevel="1">
      <c r="A1944" s="231"/>
      <c r="B1944" s="163"/>
      <c r="C1944" s="151" t="s">
        <v>1085</v>
      </c>
      <c r="D1944" s="352"/>
      <c r="E1944" s="164"/>
      <c r="F1944" s="165"/>
      <c r="G1944" s="172"/>
      <c r="H1944" s="164"/>
      <c r="I1944" s="164">
        <f>CIP!$AT$78</f>
        <v>0</v>
      </c>
      <c r="J1944" s="164"/>
      <c r="K1944" s="223"/>
      <c r="L1944" s="159">
        <f>SUM(G1944:K1944)</f>
        <v>0</v>
      </c>
      <c r="M1944" s="156">
        <v>150000</v>
      </c>
      <c r="N1944" s="250">
        <f>M1944*1.23</f>
        <v>184500</v>
      </c>
      <c r="O1944" s="157"/>
      <c r="P1944" s="248"/>
      <c r="Q1944" s="158"/>
      <c r="R1944" s="255"/>
      <c r="S1944" s="159">
        <f t="shared" si="142"/>
        <v>184500</v>
      </c>
      <c r="T1944" s="290" t="s">
        <v>366</v>
      </c>
      <c r="U1944" s="296" t="s">
        <v>1467</v>
      </c>
    </row>
    <row r="1945" spans="1:23" ht="16.5" customHeight="1">
      <c r="A1945" s="231"/>
      <c r="B1945" s="289"/>
      <c r="C1945" s="198" t="s">
        <v>825</v>
      </c>
      <c r="D1945" s="351"/>
      <c r="E1945" s="164"/>
      <c r="F1945" s="165"/>
      <c r="G1945" s="249">
        <f>SUM(G1941:G1944)</f>
        <v>0</v>
      </c>
      <c r="H1945" s="244">
        <f t="shared" ref="H1945:K1945" si="144">SUM(H1941:H1944)</f>
        <v>0</v>
      </c>
      <c r="I1945" s="244">
        <f t="shared" si="144"/>
        <v>0</v>
      </c>
      <c r="J1945" s="244">
        <f t="shared" si="144"/>
        <v>0</v>
      </c>
      <c r="K1945" s="255">
        <f t="shared" si="144"/>
        <v>0</v>
      </c>
      <c r="L1945" s="159">
        <f>SUM(G1945:K1945)</f>
        <v>0</v>
      </c>
      <c r="M1945" s="156">
        <f>SUM(M1942:M1944)</f>
        <v>1200000</v>
      </c>
      <c r="N1945" s="250">
        <f>M1945*1.23</f>
        <v>1476000</v>
      </c>
      <c r="O1945" s="157">
        <f>SUM(O1942:O1944)</f>
        <v>1050000</v>
      </c>
      <c r="P1945" s="248">
        <f>O1945*1.46</f>
        <v>1533000</v>
      </c>
      <c r="Q1945" s="158">
        <f>SUM(Q1942:Q1944)</f>
        <v>1050000</v>
      </c>
      <c r="R1945" s="255">
        <f>Q1945*1.73</f>
        <v>1816500</v>
      </c>
      <c r="S1945" s="159">
        <f t="shared" si="142"/>
        <v>4825500</v>
      </c>
      <c r="T1945" s="225"/>
      <c r="U1945" s="263"/>
    </row>
    <row r="1946" spans="1:23" outlineLevel="1">
      <c r="A1946" s="229" t="s">
        <v>826</v>
      </c>
      <c r="B1946" s="163"/>
      <c r="C1946" s="198"/>
      <c r="D1946" s="352"/>
      <c r="E1946" s="164"/>
      <c r="F1946" s="165"/>
      <c r="G1946" s="172"/>
      <c r="H1946" s="164"/>
      <c r="I1946" s="164"/>
      <c r="J1946" s="164"/>
      <c r="K1946" s="223"/>
      <c r="L1946" s="159"/>
      <c r="M1946" s="156"/>
      <c r="N1946" s="250"/>
      <c r="O1946" s="157"/>
      <c r="P1946" s="248"/>
      <c r="Q1946" s="158"/>
      <c r="R1946" s="255"/>
      <c r="S1946" s="159"/>
      <c r="T1946" s="225"/>
      <c r="U1946" s="263"/>
    </row>
    <row r="1947" spans="1:23" outlineLevel="1">
      <c r="A1947" s="231"/>
      <c r="B1947" s="163"/>
      <c r="C1947" s="151" t="s">
        <v>1066</v>
      </c>
      <c r="D1947" s="352"/>
      <c r="E1947" s="164"/>
      <c r="F1947" s="165"/>
      <c r="G1947" s="438" t="e">
        <f>CIP!#REF!</f>
        <v>#REF!</v>
      </c>
      <c r="H1947" s="164"/>
      <c r="I1947" s="164" t="e">
        <f>CIP!#REF!</f>
        <v>#REF!</v>
      </c>
      <c r="J1947" s="164"/>
      <c r="K1947" s="223"/>
      <c r="L1947" s="159" t="e">
        <f>SUM(G1947:K1947)</f>
        <v>#REF!</v>
      </c>
      <c r="M1947" s="156"/>
      <c r="N1947" s="250"/>
      <c r="O1947" s="157"/>
      <c r="P1947" s="248"/>
      <c r="Q1947" s="158"/>
      <c r="R1947" s="255"/>
      <c r="S1947" s="159" t="e">
        <f>SUM(L1947:Q1947)</f>
        <v>#REF!</v>
      </c>
      <c r="T1947" s="225"/>
      <c r="U1947" s="263"/>
    </row>
    <row r="1948" spans="1:23" ht="16.5" customHeight="1">
      <c r="A1948" s="231"/>
      <c r="B1948" s="289"/>
      <c r="C1948" s="198" t="s">
        <v>827</v>
      </c>
      <c r="D1948" s="351"/>
      <c r="E1948" s="164"/>
      <c r="F1948" s="165"/>
      <c r="G1948" s="249" t="e">
        <f>SUM(G1946:G1947)</f>
        <v>#REF!</v>
      </c>
      <c r="H1948" s="244"/>
      <c r="I1948" s="244" t="e">
        <f>SUM(I1946:I1947)</f>
        <v>#REF!</v>
      </c>
      <c r="J1948" s="244"/>
      <c r="K1948" s="255"/>
      <c r="L1948" s="159" t="e">
        <f>SUM(G1948:K1948)</f>
        <v>#REF!</v>
      </c>
      <c r="M1948" s="156">
        <v>100000</v>
      </c>
      <c r="N1948" s="250">
        <f>M1948*1.23</f>
        <v>123000</v>
      </c>
      <c r="O1948" s="156">
        <v>100000</v>
      </c>
      <c r="P1948" s="248">
        <f>O1948*1.46</f>
        <v>146000</v>
      </c>
      <c r="Q1948" s="259">
        <v>100000</v>
      </c>
      <c r="R1948" s="255">
        <f>Q1948*1.73</f>
        <v>173000</v>
      </c>
      <c r="S1948" s="159" t="e">
        <f t="shared" ref="S1948:S1949" si="145">SUM(L1948,N1948,P1948,R1948)</f>
        <v>#REF!</v>
      </c>
      <c r="T1948" s="225"/>
      <c r="U1948" s="263"/>
    </row>
    <row r="1949" spans="1:23" ht="16.5" customHeight="1">
      <c r="A1949" s="231"/>
      <c r="B1949" s="749" t="s">
        <v>828</v>
      </c>
      <c r="C1949" s="750"/>
      <c r="D1949" s="348"/>
      <c r="E1949" s="164"/>
      <c r="F1949" s="165"/>
      <c r="G1949" s="249" t="e">
        <f t="shared" ref="G1949:L1949" si="146">SUM(G1929,G1940,G1945,G1948)</f>
        <v>#REF!</v>
      </c>
      <c r="H1949" s="244" t="e">
        <f t="shared" si="146"/>
        <v>#REF!</v>
      </c>
      <c r="I1949" s="244" t="e">
        <f t="shared" si="146"/>
        <v>#REF!</v>
      </c>
      <c r="J1949" s="244" t="e">
        <f t="shared" si="146"/>
        <v>#REF!</v>
      </c>
      <c r="K1949" s="255" t="e">
        <f t="shared" si="146"/>
        <v>#REF!</v>
      </c>
      <c r="L1949" s="159" t="e">
        <f t="shared" si="146"/>
        <v>#REF!</v>
      </c>
      <c r="M1949" s="199">
        <f>SUM(M1929,M1940,M1945,M1948)</f>
        <v>16125000</v>
      </c>
      <c r="N1949" s="250">
        <f>M1949*1.23</f>
        <v>19833750</v>
      </c>
      <c r="O1949" s="199">
        <f>SUM(O1929,O1940,O1945,O1948)</f>
        <v>15975000</v>
      </c>
      <c r="P1949" s="248">
        <f>O1949*1.46</f>
        <v>23323500</v>
      </c>
      <c r="Q1949" s="199">
        <f>SUM(Q1929,Q1940,Q1945,Q1948)</f>
        <v>15975000</v>
      </c>
      <c r="R1949" s="255">
        <f>Q1949*1.73</f>
        <v>27636750</v>
      </c>
      <c r="S1949" s="159" t="e">
        <f t="shared" si="145"/>
        <v>#REF!</v>
      </c>
      <c r="T1949" s="225"/>
      <c r="U1949" s="291"/>
      <c r="W1949" t="s">
        <v>517</v>
      </c>
    </row>
    <row r="1950" spans="1:23" ht="12.75" customHeight="1">
      <c r="A1950" s="231"/>
      <c r="B1950" s="163"/>
      <c r="C1950" s="163"/>
      <c r="D1950" s="166"/>
      <c r="E1950" s="164"/>
      <c r="F1950" s="165"/>
      <c r="G1950" s="172"/>
      <c r="H1950" s="164"/>
      <c r="I1950" s="164"/>
      <c r="J1950" s="164"/>
      <c r="K1950" s="223"/>
      <c r="L1950" s="173"/>
      <c r="M1950" s="230"/>
      <c r="N1950" s="253"/>
      <c r="O1950" s="256"/>
      <c r="P1950" s="162"/>
      <c r="Q1950" s="506"/>
      <c r="R1950" s="515"/>
      <c r="S1950" s="245"/>
      <c r="T1950" s="246"/>
      <c r="U1950" s="170"/>
    </row>
    <row r="1951" spans="1:23" ht="15.75">
      <c r="A1951" s="292" t="s">
        <v>829</v>
      </c>
      <c r="B1951" s="293"/>
      <c r="C1951" s="293"/>
      <c r="D1951" s="349"/>
      <c r="E1951" s="266"/>
      <c r="F1951" s="267"/>
      <c r="G1951" s="268"/>
      <c r="H1951" s="266"/>
      <c r="I1951" s="266"/>
      <c r="J1951" s="266"/>
      <c r="K1951" s="267"/>
      <c r="L1951" s="269"/>
      <c r="M1951" s="507"/>
      <c r="N1951" s="270"/>
      <c r="O1951" s="510"/>
      <c r="P1951" s="271"/>
      <c r="Q1951" s="512"/>
      <c r="R1951" s="516"/>
      <c r="S1951" s="272"/>
      <c r="T1951" s="294"/>
      <c r="U1951" s="274"/>
    </row>
    <row r="1952" spans="1:23" ht="15.75" hidden="1" outlineLevel="1">
      <c r="A1952" s="229" t="s">
        <v>830</v>
      </c>
      <c r="B1952" s="163"/>
      <c r="C1952" s="289"/>
      <c r="D1952" s="353"/>
      <c r="E1952" s="164"/>
      <c r="F1952" s="165"/>
      <c r="G1952" s="172"/>
      <c r="H1952" s="164"/>
      <c r="I1952" s="164"/>
      <c r="J1952" s="164"/>
      <c r="K1952" s="165"/>
      <c r="L1952" s="176"/>
      <c r="M1952" s="156"/>
      <c r="N1952" s="168"/>
      <c r="O1952" s="157"/>
      <c r="P1952" s="165"/>
      <c r="Q1952" s="158"/>
      <c r="R1952" s="223"/>
      <c r="S1952" s="159"/>
      <c r="T1952" s="225"/>
      <c r="U1952" s="263"/>
    </row>
    <row r="1953" spans="1:21" ht="18.75" hidden="1" outlineLevel="2">
      <c r="A1953" s="288"/>
      <c r="B1953" s="534" t="s">
        <v>1069</v>
      </c>
      <c r="C1953" s="317"/>
      <c r="D1953" s="319"/>
      <c r="E1953" s="164"/>
      <c r="F1953" s="165"/>
      <c r="G1953" s="172"/>
      <c r="H1953" s="164"/>
      <c r="I1953" s="164"/>
      <c r="J1953" s="164"/>
      <c r="K1953" s="223"/>
      <c r="L1953" s="176"/>
      <c r="M1953" s="156"/>
      <c r="N1953" s="168"/>
      <c r="O1953" s="156"/>
      <c r="P1953" s="168"/>
      <c r="Q1953" s="259"/>
      <c r="R1953" s="223"/>
      <c r="S1953" s="159"/>
      <c r="T1953" s="295"/>
      <c r="U1953" s="161" t="s">
        <v>514</v>
      </c>
    </row>
    <row r="1954" spans="1:21" ht="18.75" hidden="1" outlineLevel="3">
      <c r="A1954" s="288"/>
      <c r="B1954" s="171"/>
      <c r="C1954" s="317" t="s">
        <v>1009</v>
      </c>
      <c r="D1954" s="397"/>
      <c r="E1954" s="164"/>
      <c r="F1954" s="165"/>
      <c r="G1954" s="172">
        <v>854800</v>
      </c>
      <c r="H1954" s="168"/>
      <c r="I1954" s="168"/>
      <c r="J1954" s="168"/>
      <c r="K1954" s="211"/>
      <c r="L1954" s="176"/>
      <c r="M1954" s="156"/>
      <c r="N1954" s="168"/>
      <c r="O1954" s="156"/>
      <c r="P1954" s="211"/>
      <c r="Q1954" s="259"/>
      <c r="R1954" s="223"/>
      <c r="S1954" s="159"/>
      <c r="T1954" s="295"/>
      <c r="U1954" s="161"/>
    </row>
    <row r="1955" spans="1:21" ht="18.75" hidden="1" outlineLevel="3">
      <c r="A1955" s="288"/>
      <c r="B1955" s="171"/>
      <c r="C1955" s="317" t="s">
        <v>1010</v>
      </c>
      <c r="D1955" s="397"/>
      <c r="E1955" s="164"/>
      <c r="F1955" s="165"/>
      <c r="G1955" s="172">
        <v>167000</v>
      </c>
      <c r="H1955" s="168"/>
      <c r="I1955" s="168"/>
      <c r="J1955" s="168"/>
      <c r="K1955" s="211"/>
      <c r="L1955" s="176"/>
      <c r="M1955" s="156"/>
      <c r="N1955" s="168"/>
      <c r="O1955" s="156"/>
      <c r="P1955" s="211"/>
      <c r="Q1955" s="259"/>
      <c r="R1955" s="223"/>
      <c r="S1955" s="159"/>
      <c r="T1955" s="295"/>
      <c r="U1955" s="161"/>
    </row>
    <row r="1956" spans="1:21" ht="18.75" hidden="1" outlineLevel="3">
      <c r="A1956" s="288"/>
      <c r="B1956" s="171"/>
      <c r="C1956" s="317" t="s">
        <v>1011</v>
      </c>
      <c r="D1956" s="397"/>
      <c r="E1956" s="164"/>
      <c r="F1956" s="165"/>
      <c r="G1956" s="172">
        <v>114400</v>
      </c>
      <c r="H1956" s="168"/>
      <c r="I1956" s="168"/>
      <c r="J1956" s="168"/>
      <c r="K1956" s="211"/>
      <c r="L1956" s="176"/>
      <c r="M1956" s="156"/>
      <c r="N1956" s="168"/>
      <c r="O1956" s="156"/>
      <c r="P1956" s="211"/>
      <c r="Q1956" s="259"/>
      <c r="R1956" s="223"/>
      <c r="S1956" s="159"/>
      <c r="T1956" s="295"/>
      <c r="U1956" s="161"/>
    </row>
    <row r="1957" spans="1:21" ht="18.75" hidden="1" outlineLevel="3">
      <c r="A1957" s="288"/>
      <c r="B1957" s="171"/>
      <c r="C1957" s="399" t="s">
        <v>1014</v>
      </c>
      <c r="D1957" s="397"/>
      <c r="E1957" s="164"/>
      <c r="F1957" s="165"/>
      <c r="G1957" s="172">
        <v>800000</v>
      </c>
      <c r="H1957" s="168"/>
      <c r="I1957" s="168"/>
      <c r="J1957" s="168"/>
      <c r="K1957" s="211"/>
      <c r="L1957" s="176"/>
      <c r="M1957" s="156"/>
      <c r="N1957" s="168"/>
      <c r="O1957" s="156"/>
      <c r="P1957" s="211"/>
      <c r="Q1957" s="259"/>
      <c r="R1957" s="223"/>
      <c r="S1957" s="159"/>
      <c r="T1957" s="295"/>
      <c r="U1957" s="161"/>
    </row>
    <row r="1958" spans="1:21" ht="18.75" hidden="1" outlineLevel="3">
      <c r="A1958" s="288"/>
      <c r="B1958" s="171"/>
      <c r="C1958" s="399" t="s">
        <v>1015</v>
      </c>
      <c r="D1958" s="397"/>
      <c r="E1958" s="164"/>
      <c r="F1958" s="165"/>
      <c r="G1958" s="172">
        <v>250000</v>
      </c>
      <c r="H1958" s="168"/>
      <c r="I1958" s="168"/>
      <c r="J1958" s="168"/>
      <c r="K1958" s="211"/>
      <c r="L1958" s="176"/>
      <c r="M1958" s="156"/>
      <c r="N1958" s="168"/>
      <c r="O1958" s="156"/>
      <c r="P1958" s="211"/>
      <c r="Q1958" s="259"/>
      <c r="R1958" s="223"/>
      <c r="S1958" s="159"/>
      <c r="T1958" s="295"/>
      <c r="U1958" s="161"/>
    </row>
    <row r="1959" spans="1:21" ht="18.75" hidden="1" outlineLevel="3">
      <c r="A1959" s="288"/>
      <c r="B1959" s="171"/>
      <c r="C1959" s="399" t="s">
        <v>1016</v>
      </c>
      <c r="D1959" s="397"/>
      <c r="E1959" s="164"/>
      <c r="F1959" s="165"/>
      <c r="G1959" s="172">
        <v>600000</v>
      </c>
      <c r="H1959" s="168"/>
      <c r="I1959" s="168"/>
      <c r="J1959" s="168"/>
      <c r="K1959" s="211"/>
      <c r="L1959" s="176"/>
      <c r="M1959" s="156"/>
      <c r="N1959" s="168"/>
      <c r="O1959" s="156"/>
      <c r="P1959" s="211"/>
      <c r="Q1959" s="259"/>
      <c r="R1959" s="223"/>
      <c r="S1959" s="159"/>
      <c r="T1959" s="295"/>
      <c r="U1959" s="161"/>
    </row>
    <row r="1960" spans="1:21" ht="18.75" hidden="1" outlineLevel="3">
      <c r="A1960" s="288"/>
      <c r="B1960" s="171"/>
      <c r="C1960" s="399" t="s">
        <v>1017</v>
      </c>
      <c r="D1960" s="397"/>
      <c r="E1960" s="164"/>
      <c r="F1960" s="165"/>
      <c r="G1960" s="172">
        <v>450000</v>
      </c>
      <c r="H1960" s="168"/>
      <c r="I1960" s="168"/>
      <c r="J1960" s="168"/>
      <c r="K1960" s="211"/>
      <c r="L1960" s="176"/>
      <c r="M1960" s="156"/>
      <c r="N1960" s="168"/>
      <c r="O1960" s="156"/>
      <c r="P1960" s="211"/>
      <c r="Q1960" s="259"/>
      <c r="R1960" s="223"/>
      <c r="S1960" s="159"/>
      <c r="T1960" s="295"/>
      <c r="U1960" s="161"/>
    </row>
    <row r="1961" spans="1:21" ht="18.75" hidden="1" outlineLevel="3">
      <c r="A1961" s="288"/>
      <c r="B1961" s="171"/>
      <c r="C1961" s="399" t="s">
        <v>1018</v>
      </c>
      <c r="D1961" s="397"/>
      <c r="E1961" s="164"/>
      <c r="F1961" s="165"/>
      <c r="G1961" s="172">
        <v>214800</v>
      </c>
      <c r="H1961" s="168"/>
      <c r="I1961" s="168"/>
      <c r="J1961" s="168"/>
      <c r="K1961" s="211"/>
      <c r="L1961" s="176"/>
      <c r="M1961" s="156"/>
      <c r="N1961" s="168"/>
      <c r="O1961" s="156"/>
      <c r="P1961" s="211"/>
      <c r="Q1961" s="259"/>
      <c r="R1961" s="223"/>
      <c r="S1961" s="159"/>
      <c r="T1961" s="295"/>
      <c r="U1961" s="161"/>
    </row>
    <row r="1962" spans="1:21" ht="18.75" hidden="1" outlineLevel="3">
      <c r="A1962" s="288"/>
      <c r="B1962" s="171"/>
      <c r="C1962" s="399" t="s">
        <v>1019</v>
      </c>
      <c r="D1962" s="397"/>
      <c r="E1962" s="164"/>
      <c r="F1962" s="165"/>
      <c r="G1962" s="172">
        <v>400000</v>
      </c>
      <c r="H1962" s="168"/>
      <c r="I1962" s="168"/>
      <c r="J1962" s="168"/>
      <c r="K1962" s="211"/>
      <c r="L1962" s="176"/>
      <c r="M1962" s="156"/>
      <c r="N1962" s="168"/>
      <c r="O1962" s="156"/>
      <c r="P1962" s="211"/>
      <c r="Q1962" s="259"/>
      <c r="R1962" s="223"/>
      <c r="S1962" s="159"/>
      <c r="T1962" s="295"/>
      <c r="U1962" s="161"/>
    </row>
    <row r="1963" spans="1:21" ht="18.75" hidden="1" outlineLevel="2" collapsed="1">
      <c r="A1963" s="288"/>
      <c r="B1963" s="171"/>
      <c r="C1963" s="416" t="s">
        <v>1070</v>
      </c>
      <c r="D1963" s="397"/>
      <c r="E1963" s="164"/>
      <c r="F1963" s="165"/>
      <c r="G1963" s="249">
        <f>CIP!$AR$10</f>
        <v>400000</v>
      </c>
      <c r="H1963" s="168"/>
      <c r="I1963" s="168"/>
      <c r="J1963" s="168"/>
      <c r="K1963" s="211"/>
      <c r="L1963" s="176">
        <f>SUM(G1963:K1963)</f>
        <v>400000</v>
      </c>
      <c r="M1963" s="156"/>
      <c r="N1963" s="168"/>
      <c r="O1963" s="156"/>
      <c r="P1963" s="211"/>
      <c r="Q1963" s="259"/>
      <c r="R1963" s="223"/>
      <c r="S1963" s="159"/>
      <c r="T1963" s="295"/>
      <c r="U1963" s="161"/>
    </row>
    <row r="1964" spans="1:21" ht="18.75" hidden="1" outlineLevel="3">
      <c r="A1964" s="288"/>
      <c r="B1964" s="171"/>
      <c r="C1964" s="399" t="s">
        <v>1020</v>
      </c>
      <c r="D1964" s="397"/>
      <c r="E1964" s="164"/>
      <c r="F1964" s="165"/>
      <c r="G1964" s="172"/>
      <c r="H1964" s="168">
        <v>1260000</v>
      </c>
      <c r="I1964" s="168"/>
      <c r="J1964" s="168"/>
      <c r="K1964" s="211"/>
      <c r="L1964" s="176"/>
      <c r="M1964" s="156"/>
      <c r="N1964" s="168"/>
      <c r="O1964" s="156"/>
      <c r="P1964" s="211"/>
      <c r="Q1964" s="259"/>
      <c r="R1964" s="223"/>
      <c r="S1964" s="159"/>
      <c r="T1964" s="295"/>
      <c r="U1964" s="161"/>
    </row>
    <row r="1965" spans="1:21" ht="18.75" hidden="1" outlineLevel="3">
      <c r="A1965" s="288"/>
      <c r="B1965" s="171"/>
      <c r="C1965" s="399" t="s">
        <v>1021</v>
      </c>
      <c r="D1965" s="397"/>
      <c r="E1965" s="164"/>
      <c r="F1965" s="165"/>
      <c r="G1965" s="172"/>
      <c r="H1965" s="168">
        <v>167200</v>
      </c>
      <c r="I1965" s="168"/>
      <c r="J1965" s="168"/>
      <c r="K1965" s="211"/>
      <c r="L1965" s="176"/>
      <c r="M1965" s="156"/>
      <c r="N1965" s="168"/>
      <c r="O1965" s="156"/>
      <c r="P1965" s="211"/>
      <c r="Q1965" s="259"/>
      <c r="R1965" s="223"/>
      <c r="S1965" s="159"/>
      <c r="T1965" s="295"/>
      <c r="U1965" s="161"/>
    </row>
    <row r="1966" spans="1:21" ht="18.75" hidden="1" outlineLevel="3">
      <c r="A1966" s="288"/>
      <c r="B1966" s="171"/>
      <c r="C1966" s="399" t="s">
        <v>1022</v>
      </c>
      <c r="D1966" s="397"/>
      <c r="E1966" s="164"/>
      <c r="F1966" s="165"/>
      <c r="G1966" s="172"/>
      <c r="H1966" s="168">
        <v>81000</v>
      </c>
      <c r="I1966" s="168"/>
      <c r="J1966" s="168"/>
      <c r="K1966" s="211"/>
      <c r="L1966" s="176"/>
      <c r="M1966" s="156"/>
      <c r="N1966" s="168"/>
      <c r="O1966" s="156"/>
      <c r="P1966" s="211"/>
      <c r="Q1966" s="259"/>
      <c r="R1966" s="223"/>
      <c r="S1966" s="159"/>
      <c r="T1966" s="295"/>
      <c r="U1966" s="161"/>
    </row>
    <row r="1967" spans="1:21" ht="18.75" hidden="1" outlineLevel="3">
      <c r="A1967" s="288"/>
      <c r="B1967" s="171"/>
      <c r="C1967" s="400" t="s">
        <v>1022</v>
      </c>
      <c r="D1967" s="354"/>
      <c r="E1967" s="164"/>
      <c r="F1967" s="165"/>
      <c r="G1967" s="172"/>
      <c r="H1967" s="168">
        <v>400000</v>
      </c>
      <c r="I1967" s="168"/>
      <c r="J1967" s="168"/>
      <c r="K1967" s="211"/>
      <c r="L1967" s="176"/>
      <c r="M1967" s="156"/>
      <c r="N1967" s="168"/>
      <c r="O1967" s="157"/>
      <c r="P1967" s="165"/>
      <c r="Q1967" s="158"/>
      <c r="R1967" s="223"/>
      <c r="S1967" s="159"/>
      <c r="T1967" s="295"/>
      <c r="U1967" s="296"/>
    </row>
    <row r="1968" spans="1:21" ht="18.75" hidden="1" outlineLevel="3">
      <c r="A1968" s="288"/>
      <c r="B1968" s="171"/>
      <c r="C1968" s="400" t="s">
        <v>1024</v>
      </c>
      <c r="D1968" s="354"/>
      <c r="E1968" s="164"/>
      <c r="F1968" s="165"/>
      <c r="G1968" s="172"/>
      <c r="H1968" s="168">
        <v>270000</v>
      </c>
      <c r="I1968" s="168"/>
      <c r="J1968" s="168"/>
      <c r="K1968" s="211"/>
      <c r="L1968" s="176"/>
      <c r="M1968" s="156"/>
      <c r="N1968" s="168"/>
      <c r="O1968" s="157"/>
      <c r="P1968" s="165"/>
      <c r="Q1968" s="158"/>
      <c r="R1968" s="223"/>
      <c r="S1968" s="159"/>
      <c r="T1968" s="295"/>
      <c r="U1968" s="161"/>
    </row>
    <row r="1969" spans="1:21" ht="18.75" hidden="1" outlineLevel="3">
      <c r="A1969" s="288"/>
      <c r="B1969" s="171"/>
      <c r="C1969" s="400" t="s">
        <v>1023</v>
      </c>
      <c r="D1969" s="354"/>
      <c r="E1969" s="164"/>
      <c r="F1969" s="165"/>
      <c r="G1969" s="172"/>
      <c r="H1969" s="168">
        <v>380000</v>
      </c>
      <c r="I1969" s="168"/>
      <c r="J1969" s="168"/>
      <c r="K1969" s="211"/>
      <c r="L1969" s="176"/>
      <c r="M1969" s="156"/>
      <c r="N1969" s="168"/>
      <c r="O1969" s="157"/>
      <c r="P1969" s="165"/>
      <c r="Q1969" s="158"/>
      <c r="R1969" s="223"/>
      <c r="S1969" s="159"/>
      <c r="T1969" s="295"/>
      <c r="U1969" s="161"/>
    </row>
    <row r="1970" spans="1:21" ht="18.75" hidden="1" outlineLevel="3">
      <c r="A1970" s="288"/>
      <c r="B1970" s="171"/>
      <c r="C1970" s="400" t="s">
        <v>1025</v>
      </c>
      <c r="D1970" s="354"/>
      <c r="E1970" s="164"/>
      <c r="F1970" s="165"/>
      <c r="G1970" s="172"/>
      <c r="H1970" s="168">
        <v>1100000</v>
      </c>
      <c r="I1970" s="168"/>
      <c r="J1970" s="168"/>
      <c r="K1970" s="211"/>
      <c r="L1970" s="176"/>
      <c r="M1970" s="156"/>
      <c r="N1970" s="168"/>
      <c r="O1970" s="157"/>
      <c r="P1970" s="165"/>
      <c r="Q1970" s="158"/>
      <c r="R1970" s="223"/>
      <c r="S1970" s="159"/>
      <c r="T1970" s="295"/>
      <c r="U1970" s="161"/>
    </row>
    <row r="1971" spans="1:21" ht="18.75" hidden="1" outlineLevel="3">
      <c r="A1971" s="288"/>
      <c r="B1971" s="171"/>
      <c r="C1971" s="400" t="s">
        <v>1026</v>
      </c>
      <c r="D1971" s="354"/>
      <c r="E1971" s="164"/>
      <c r="F1971" s="165"/>
      <c r="G1971" s="172"/>
      <c r="H1971" s="168">
        <v>550800</v>
      </c>
      <c r="I1971" s="168"/>
      <c r="J1971" s="168"/>
      <c r="K1971" s="211"/>
      <c r="L1971" s="176"/>
      <c r="M1971" s="156"/>
      <c r="N1971" s="168"/>
      <c r="O1971" s="157"/>
      <c r="P1971" s="165"/>
      <c r="Q1971" s="158"/>
      <c r="R1971" s="223"/>
      <c r="S1971" s="159"/>
      <c r="T1971" s="295"/>
      <c r="U1971" s="161"/>
    </row>
    <row r="1972" spans="1:21" ht="18.75" hidden="1" outlineLevel="2" collapsed="1">
      <c r="A1972" s="288"/>
      <c r="B1972" s="171"/>
      <c r="C1972" s="416" t="s">
        <v>1071</v>
      </c>
      <c r="D1972" s="354"/>
      <c r="E1972" s="164"/>
      <c r="F1972" s="165"/>
      <c r="G1972" s="172"/>
      <c r="H1972" s="250">
        <f>CIP!$AS$37</f>
        <v>0</v>
      </c>
      <c r="I1972" s="168"/>
      <c r="J1972" s="168"/>
      <c r="K1972" s="211"/>
      <c r="L1972" s="176">
        <f>SUM(G1972:K1972)</f>
        <v>0</v>
      </c>
      <c r="M1972" s="156"/>
      <c r="N1972" s="168"/>
      <c r="O1972" s="157"/>
      <c r="P1972" s="165"/>
      <c r="Q1972" s="158"/>
      <c r="R1972" s="223"/>
      <c r="S1972" s="159"/>
      <c r="T1972" s="295"/>
      <c r="U1972" s="161"/>
    </row>
    <row r="1973" spans="1:21" ht="18.75" hidden="1" outlineLevel="2">
      <c r="A1973" s="288"/>
      <c r="B1973" s="151" t="s">
        <v>1072</v>
      </c>
      <c r="C1973" s="416"/>
      <c r="D1973" s="397"/>
      <c r="E1973" s="164"/>
      <c r="F1973" s="165"/>
      <c r="G1973" s="249"/>
      <c r="H1973" s="168"/>
      <c r="I1973" s="168"/>
      <c r="J1973" s="168"/>
      <c r="K1973" s="211"/>
      <c r="L1973" s="176"/>
      <c r="M1973" s="156"/>
      <c r="N1973" s="168"/>
      <c r="O1973" s="156"/>
      <c r="P1973" s="211"/>
      <c r="Q1973" s="259"/>
      <c r="R1973" s="223"/>
      <c r="S1973" s="159"/>
      <c r="T1973" s="295"/>
      <c r="U1973" s="161"/>
    </row>
    <row r="1974" spans="1:21" ht="18.75" hidden="1" outlineLevel="3">
      <c r="A1974" s="288"/>
      <c r="B1974" s="171"/>
      <c r="C1974" s="317" t="s">
        <v>1012</v>
      </c>
      <c r="D1974" s="397"/>
      <c r="E1974" s="164"/>
      <c r="F1974" s="165"/>
      <c r="G1974" s="172">
        <v>64000</v>
      </c>
      <c r="H1974" s="168"/>
      <c r="I1974" s="168"/>
      <c r="J1974" s="168"/>
      <c r="K1974" s="211"/>
      <c r="L1974" s="176"/>
      <c r="M1974" s="156"/>
      <c r="N1974" s="168"/>
      <c r="O1974" s="156"/>
      <c r="P1974" s="211"/>
      <c r="Q1974" s="259"/>
      <c r="R1974" s="223"/>
      <c r="S1974" s="159"/>
      <c r="T1974" s="295"/>
      <c r="U1974" s="161"/>
    </row>
    <row r="1975" spans="1:21" ht="18.75" hidden="1" outlineLevel="3">
      <c r="A1975" s="288"/>
      <c r="B1975" s="171"/>
      <c r="C1975" s="317" t="s">
        <v>1013</v>
      </c>
      <c r="D1975" s="397"/>
      <c r="E1975" s="164"/>
      <c r="F1975" s="165"/>
      <c r="G1975" s="172">
        <v>100000</v>
      </c>
      <c r="H1975" s="168"/>
      <c r="I1975" s="168"/>
      <c r="J1975" s="168"/>
      <c r="K1975" s="211"/>
      <c r="L1975" s="176"/>
      <c r="M1975" s="156"/>
      <c r="N1975" s="168"/>
      <c r="O1975" s="156"/>
      <c r="P1975" s="211"/>
      <c r="Q1975" s="259"/>
      <c r="R1975" s="223"/>
      <c r="S1975" s="159"/>
      <c r="T1975" s="295"/>
      <c r="U1975" s="161"/>
    </row>
    <row r="1976" spans="1:21" ht="18.75" hidden="1" outlineLevel="2" collapsed="1">
      <c r="A1976" s="288"/>
      <c r="B1976" s="171"/>
      <c r="C1976" s="416" t="s">
        <v>1075</v>
      </c>
      <c r="D1976" s="397"/>
      <c r="E1976" s="164"/>
      <c r="F1976" s="165"/>
      <c r="G1976" s="249">
        <f>CIP!$AR$18</f>
        <v>1575000</v>
      </c>
      <c r="H1976" s="168"/>
      <c r="I1976" s="168"/>
      <c r="J1976" s="168"/>
      <c r="K1976" s="211"/>
      <c r="L1976" s="176">
        <f>SUM(G1976:K1976)</f>
        <v>1575000</v>
      </c>
      <c r="M1976" s="156"/>
      <c r="N1976" s="168"/>
      <c r="O1976" s="156"/>
      <c r="P1976" s="211"/>
      <c r="Q1976" s="259"/>
      <c r="R1976" s="223"/>
      <c r="S1976" s="159"/>
      <c r="T1976" s="295" t="s">
        <v>1067</v>
      </c>
      <c r="U1976" s="161"/>
    </row>
    <row r="1977" spans="1:21" ht="18.75" hidden="1" outlineLevel="3">
      <c r="A1977" s="288"/>
      <c r="B1977" s="171"/>
      <c r="C1977" s="398" t="s">
        <v>1027</v>
      </c>
      <c r="D1977" s="354"/>
      <c r="E1977" s="164"/>
      <c r="F1977" s="165"/>
      <c r="G1977" s="212"/>
      <c r="H1977" s="250"/>
      <c r="I1977" s="168">
        <v>180000</v>
      </c>
      <c r="J1977" s="168"/>
      <c r="K1977" s="211"/>
      <c r="L1977" s="176"/>
      <c r="M1977" s="156"/>
      <c r="N1977" s="168"/>
      <c r="O1977" s="157"/>
      <c r="P1977" s="165"/>
      <c r="Q1977" s="158"/>
      <c r="R1977" s="223"/>
      <c r="S1977" s="159"/>
      <c r="T1977" s="295"/>
      <c r="U1977" s="161"/>
    </row>
    <row r="1978" spans="1:21" ht="18.75" hidden="1" outlineLevel="3">
      <c r="A1978" s="288"/>
      <c r="B1978" s="171"/>
      <c r="C1978" s="398" t="s">
        <v>1028</v>
      </c>
      <c r="D1978" s="354"/>
      <c r="E1978" s="164"/>
      <c r="F1978" s="165"/>
      <c r="G1978" s="212"/>
      <c r="H1978" s="250"/>
      <c r="I1978" s="168">
        <v>517680</v>
      </c>
      <c r="J1978" s="168"/>
      <c r="K1978" s="211"/>
      <c r="L1978" s="176"/>
      <c r="M1978" s="156"/>
      <c r="N1978" s="168"/>
      <c r="O1978" s="157"/>
      <c r="P1978" s="165"/>
      <c r="Q1978" s="158"/>
      <c r="R1978" s="223"/>
      <c r="S1978" s="159"/>
      <c r="T1978" s="295"/>
      <c r="U1978" s="161"/>
    </row>
    <row r="1979" spans="1:21" ht="18.75" hidden="1" outlineLevel="3">
      <c r="A1979" s="288"/>
      <c r="B1979" s="171"/>
      <c r="C1979" s="398" t="s">
        <v>1029</v>
      </c>
      <c r="D1979" s="354"/>
      <c r="E1979" s="164"/>
      <c r="F1979" s="165"/>
      <c r="G1979" s="212"/>
      <c r="H1979" s="250"/>
      <c r="I1979" s="168">
        <v>523600</v>
      </c>
      <c r="J1979" s="168"/>
      <c r="K1979" s="211"/>
      <c r="L1979" s="176"/>
      <c r="M1979" s="156"/>
      <c r="N1979" s="168"/>
      <c r="O1979" s="157"/>
      <c r="P1979" s="165"/>
      <c r="Q1979" s="158"/>
      <c r="R1979" s="223"/>
      <c r="S1979" s="159"/>
      <c r="T1979" s="295"/>
      <c r="U1979" s="161"/>
    </row>
    <row r="1980" spans="1:21" ht="18.75" hidden="1" outlineLevel="3">
      <c r="A1980" s="288"/>
      <c r="B1980" s="171"/>
      <c r="C1980" s="401" t="s">
        <v>1030</v>
      </c>
      <c r="D1980" s="354"/>
      <c r="E1980" s="164"/>
      <c r="F1980" s="165"/>
      <c r="G1980" s="212"/>
      <c r="H1980" s="164"/>
      <c r="I1980" s="168">
        <v>117720</v>
      </c>
      <c r="J1980" s="168"/>
      <c r="K1980" s="211"/>
      <c r="L1980" s="176"/>
      <c r="M1980" s="156"/>
      <c r="N1980" s="168"/>
      <c r="O1980" s="157"/>
      <c r="P1980" s="165"/>
      <c r="Q1980" s="158"/>
      <c r="R1980" s="223"/>
      <c r="S1980" s="159"/>
      <c r="T1980" s="295"/>
      <c r="U1980" s="161"/>
    </row>
    <row r="1981" spans="1:21" ht="18.75" hidden="1" outlineLevel="3">
      <c r="A1981" s="288"/>
      <c r="B1981" s="171"/>
      <c r="C1981" s="401" t="s">
        <v>1031</v>
      </c>
      <c r="D1981" s="354"/>
      <c r="E1981" s="164"/>
      <c r="F1981" s="165"/>
      <c r="G1981" s="212"/>
      <c r="H1981" s="168"/>
      <c r="I1981" s="156">
        <v>1539540</v>
      </c>
      <c r="J1981" s="168"/>
      <c r="K1981" s="211"/>
      <c r="L1981" s="176"/>
      <c r="M1981" s="156"/>
      <c r="N1981" s="168"/>
      <c r="O1981" s="157"/>
      <c r="P1981" s="165"/>
      <c r="Q1981" s="158"/>
      <c r="R1981" s="223"/>
      <c r="S1981" s="159"/>
      <c r="T1981" s="295"/>
      <c r="U1981" s="161"/>
    </row>
    <row r="1982" spans="1:21" ht="18.75" hidden="1" outlineLevel="3">
      <c r="A1982" s="288"/>
      <c r="B1982" s="171"/>
      <c r="C1982" s="401" t="s">
        <v>1032</v>
      </c>
      <c r="D1982" s="354"/>
      <c r="E1982" s="164"/>
      <c r="F1982" s="165"/>
      <c r="G1982" s="212"/>
      <c r="H1982" s="168"/>
      <c r="I1982" s="156">
        <v>104400</v>
      </c>
      <c r="J1982" s="168"/>
      <c r="K1982" s="211"/>
      <c r="L1982" s="176"/>
      <c r="M1982" s="156"/>
      <c r="N1982" s="168"/>
      <c r="O1982" s="157"/>
      <c r="P1982" s="165"/>
      <c r="Q1982" s="158"/>
      <c r="R1982" s="223"/>
      <c r="S1982" s="159"/>
      <c r="T1982" s="295"/>
      <c r="U1982" s="161"/>
    </row>
    <row r="1983" spans="1:21" ht="18.75" hidden="1" outlineLevel="3">
      <c r="A1983" s="288"/>
      <c r="B1983" s="171"/>
      <c r="C1983" s="401" t="s">
        <v>1033</v>
      </c>
      <c r="D1983" s="354"/>
      <c r="E1983" s="164"/>
      <c r="F1983" s="165"/>
      <c r="G1983" s="212"/>
      <c r="H1983" s="168"/>
      <c r="I1983" s="156">
        <v>80000</v>
      </c>
      <c r="J1983" s="168"/>
      <c r="K1983" s="211"/>
      <c r="L1983" s="176"/>
      <c r="M1983" s="156"/>
      <c r="N1983" s="168"/>
      <c r="O1983" s="157"/>
      <c r="P1983" s="165"/>
      <c r="Q1983" s="158"/>
      <c r="R1983" s="223"/>
      <c r="S1983" s="159"/>
      <c r="T1983" s="295"/>
      <c r="U1983" s="161"/>
    </row>
    <row r="1984" spans="1:21" ht="18.75" hidden="1" outlineLevel="3">
      <c r="A1984" s="288"/>
      <c r="B1984" s="171"/>
      <c r="C1984" s="402" t="s">
        <v>776</v>
      </c>
      <c r="D1984" s="354"/>
      <c r="E1984" s="164"/>
      <c r="F1984" s="165"/>
      <c r="G1984" s="212"/>
      <c r="H1984" s="168"/>
      <c r="I1984" s="156">
        <v>112200</v>
      </c>
      <c r="J1984" s="168"/>
      <c r="K1984" s="211"/>
      <c r="L1984" s="176"/>
      <c r="M1984" s="156"/>
      <c r="N1984" s="168"/>
      <c r="O1984" s="157"/>
      <c r="P1984" s="165"/>
      <c r="Q1984" s="158"/>
      <c r="R1984" s="223"/>
      <c r="S1984" s="159"/>
      <c r="T1984" s="295"/>
      <c r="U1984" s="161"/>
    </row>
    <row r="1985" spans="1:21" ht="18.75" hidden="1" outlineLevel="3">
      <c r="A1985" s="288"/>
      <c r="B1985" s="171"/>
      <c r="C1985" s="402" t="s">
        <v>1034</v>
      </c>
      <c r="D1985" s="354"/>
      <c r="E1985" s="164"/>
      <c r="F1985" s="165"/>
      <c r="G1985" s="212"/>
      <c r="H1985" s="168"/>
      <c r="I1985" s="156">
        <v>346680</v>
      </c>
      <c r="J1985" s="168"/>
      <c r="K1985" s="211"/>
      <c r="L1985" s="176"/>
      <c r="M1985" s="156"/>
      <c r="N1985" s="168"/>
      <c r="O1985" s="157"/>
      <c r="P1985" s="165"/>
      <c r="Q1985" s="158"/>
      <c r="R1985" s="223"/>
      <c r="S1985" s="159"/>
      <c r="T1985" s="295"/>
      <c r="U1985" s="161"/>
    </row>
    <row r="1986" spans="1:21" ht="18.75" hidden="1" outlineLevel="3">
      <c r="A1986" s="288"/>
      <c r="B1986" s="171"/>
      <c r="C1986" s="402" t="s">
        <v>775</v>
      </c>
      <c r="D1986" s="354"/>
      <c r="E1986" s="164"/>
      <c r="F1986" s="165"/>
      <c r="G1986" s="212"/>
      <c r="H1986" s="168"/>
      <c r="I1986" s="156">
        <v>321200</v>
      </c>
      <c r="J1986" s="168"/>
      <c r="K1986" s="211"/>
      <c r="L1986" s="176"/>
      <c r="M1986" s="156"/>
      <c r="N1986" s="168"/>
      <c r="O1986" s="157"/>
      <c r="P1986" s="165"/>
      <c r="Q1986" s="158"/>
      <c r="R1986" s="223"/>
      <c r="S1986" s="159"/>
      <c r="T1986" s="295"/>
      <c r="U1986" s="161"/>
    </row>
    <row r="1987" spans="1:21" ht="18.75" hidden="1" outlineLevel="3">
      <c r="A1987" s="288"/>
      <c r="B1987" s="171"/>
      <c r="C1987" s="402" t="s">
        <v>1073</v>
      </c>
      <c r="D1987" s="354"/>
      <c r="E1987" s="164"/>
      <c r="F1987" s="165"/>
      <c r="G1987" s="212"/>
      <c r="H1987" s="168"/>
      <c r="I1987" s="156">
        <v>111600</v>
      </c>
      <c r="J1987" s="168"/>
      <c r="K1987" s="211"/>
      <c r="L1987" s="176"/>
      <c r="M1987" s="156"/>
      <c r="N1987" s="168"/>
      <c r="O1987" s="157"/>
      <c r="P1987" s="165"/>
      <c r="Q1987" s="158"/>
      <c r="R1987" s="223"/>
      <c r="S1987" s="159"/>
      <c r="T1987" s="295"/>
      <c r="U1987" s="161"/>
    </row>
    <row r="1988" spans="1:21" ht="18.75" hidden="1" outlineLevel="3">
      <c r="A1988" s="288"/>
      <c r="B1988" s="171"/>
      <c r="C1988" s="418" t="s">
        <v>1074</v>
      </c>
      <c r="D1988" s="354"/>
      <c r="E1988" s="164"/>
      <c r="F1988" s="165"/>
      <c r="G1988" s="212"/>
      <c r="H1988" s="168"/>
      <c r="I1988" s="156">
        <v>79560</v>
      </c>
      <c r="J1988" s="168"/>
      <c r="K1988" s="211"/>
      <c r="L1988" s="176"/>
      <c r="M1988" s="156"/>
      <c r="N1988" s="168"/>
      <c r="O1988" s="157"/>
      <c r="P1988" s="165"/>
      <c r="Q1988" s="158"/>
      <c r="R1988" s="223"/>
      <c r="S1988" s="159"/>
      <c r="T1988" s="295"/>
      <c r="U1988" s="161"/>
    </row>
    <row r="1989" spans="1:21" ht="18.75" hidden="1" outlineLevel="2" collapsed="1">
      <c r="A1989" s="288"/>
      <c r="B1989" s="171"/>
      <c r="C1989" s="416" t="s">
        <v>1076</v>
      </c>
      <c r="D1989" s="354"/>
      <c r="E1989" s="164"/>
      <c r="F1989" s="165"/>
      <c r="G1989" s="212"/>
      <c r="H1989" s="164"/>
      <c r="I1989" s="250">
        <f>CIP!$AT$70</f>
        <v>0</v>
      </c>
      <c r="J1989" s="168"/>
      <c r="K1989" s="211"/>
      <c r="L1989" s="176">
        <f>SUM(G1989:K1989)</f>
        <v>0</v>
      </c>
      <c r="M1989" s="156"/>
      <c r="N1989" s="168"/>
      <c r="O1989" s="157"/>
      <c r="P1989" s="165"/>
      <c r="Q1989" s="158"/>
      <c r="R1989" s="223"/>
      <c r="S1989" s="159"/>
      <c r="T1989" s="295" t="s">
        <v>1067</v>
      </c>
      <c r="U1989" s="161"/>
    </row>
    <row r="1990" spans="1:21" ht="18.75" hidden="1" outlineLevel="3">
      <c r="A1990" s="288"/>
      <c r="B1990" s="171"/>
      <c r="C1990" s="401" t="s">
        <v>1037</v>
      </c>
      <c r="D1990" s="354"/>
      <c r="E1990" s="164"/>
      <c r="F1990" s="165"/>
      <c r="G1990" s="172"/>
      <c r="H1990" s="168"/>
      <c r="I1990" s="250"/>
      <c r="J1990" s="168">
        <v>471600</v>
      </c>
      <c r="K1990" s="211"/>
      <c r="L1990" s="176"/>
      <c r="M1990" s="156"/>
      <c r="N1990" s="168"/>
      <c r="O1990" s="157"/>
      <c r="P1990" s="165"/>
      <c r="Q1990" s="158"/>
      <c r="R1990" s="223"/>
      <c r="S1990" s="159"/>
      <c r="T1990" s="295"/>
      <c r="U1990" s="161"/>
    </row>
    <row r="1991" spans="1:21" ht="18.75" hidden="1" outlineLevel="3">
      <c r="A1991" s="288"/>
      <c r="B1991" s="171"/>
      <c r="C1991" s="401" t="s">
        <v>1035</v>
      </c>
      <c r="D1991" s="354"/>
      <c r="E1991" s="164"/>
      <c r="F1991" s="165"/>
      <c r="G1991" s="172"/>
      <c r="H1991" s="168"/>
      <c r="I1991" s="250"/>
      <c r="J1991" s="168">
        <v>240000</v>
      </c>
      <c r="K1991" s="211"/>
      <c r="L1991" s="176"/>
      <c r="M1991" s="156"/>
      <c r="N1991" s="168"/>
      <c r="O1991" s="157"/>
      <c r="P1991" s="165"/>
      <c r="Q1991" s="158"/>
      <c r="R1991" s="223"/>
      <c r="S1991" s="159"/>
      <c r="T1991" s="295"/>
      <c r="U1991" s="161"/>
    </row>
    <row r="1992" spans="1:21" ht="18.75" hidden="1" outlineLevel="3">
      <c r="A1992" s="288"/>
      <c r="B1992" s="171"/>
      <c r="C1992" s="401" t="s">
        <v>1036</v>
      </c>
      <c r="D1992" s="354"/>
      <c r="E1992" s="164"/>
      <c r="F1992" s="165"/>
      <c r="G1992" s="172"/>
      <c r="H1992" s="168"/>
      <c r="I1992" s="250"/>
      <c r="J1992" s="168">
        <v>519000</v>
      </c>
      <c r="K1992" s="211"/>
      <c r="L1992" s="176"/>
      <c r="M1992" s="156"/>
      <c r="N1992" s="168"/>
      <c r="O1992" s="157"/>
      <c r="P1992" s="165"/>
      <c r="Q1992" s="158"/>
      <c r="R1992" s="223"/>
      <c r="S1992" s="159"/>
      <c r="T1992" s="295"/>
      <c r="U1992" s="161"/>
    </row>
    <row r="1993" spans="1:21" ht="18.75" hidden="1" outlineLevel="3">
      <c r="A1993" s="288"/>
      <c r="B1993" s="171"/>
      <c r="C1993" s="401" t="s">
        <v>779</v>
      </c>
      <c r="D1993" s="354"/>
      <c r="E1993" s="164"/>
      <c r="F1993" s="165"/>
      <c r="G1993" s="172"/>
      <c r="H1993" s="168"/>
      <c r="I1993" s="250"/>
      <c r="J1993" s="168">
        <v>81000</v>
      </c>
      <c r="K1993" s="211"/>
      <c r="L1993" s="176"/>
      <c r="M1993" s="156"/>
      <c r="N1993" s="168"/>
      <c r="O1993" s="157"/>
      <c r="P1993" s="165"/>
      <c r="Q1993" s="158"/>
      <c r="R1993" s="223"/>
      <c r="S1993" s="159"/>
      <c r="T1993" s="295"/>
      <c r="U1993" s="161"/>
    </row>
    <row r="1994" spans="1:21" ht="18.75" hidden="1" outlineLevel="3">
      <c r="A1994" s="288"/>
      <c r="B1994" s="171"/>
      <c r="C1994" s="400" t="s">
        <v>798</v>
      </c>
      <c r="D1994" s="354"/>
      <c r="E1994" s="164"/>
      <c r="F1994" s="165"/>
      <c r="G1994" s="172"/>
      <c r="H1994" s="168"/>
      <c r="I1994" s="168"/>
      <c r="J1994" s="168">
        <v>62400</v>
      </c>
      <c r="K1994" s="211"/>
      <c r="L1994" s="176"/>
      <c r="M1994" s="156"/>
      <c r="N1994" s="168"/>
      <c r="O1994" s="157"/>
      <c r="P1994" s="165"/>
      <c r="Q1994" s="158"/>
      <c r="R1994" s="223"/>
      <c r="S1994" s="159"/>
      <c r="T1994" s="295"/>
      <c r="U1994" s="161"/>
    </row>
    <row r="1995" spans="1:21" ht="18.75" hidden="1" outlineLevel="3">
      <c r="A1995" s="288"/>
      <c r="B1995" s="171"/>
      <c r="C1995" s="400" t="s">
        <v>767</v>
      </c>
      <c r="D1995" s="354"/>
      <c r="E1995" s="164"/>
      <c r="F1995" s="165"/>
      <c r="G1995" s="172"/>
      <c r="H1995" s="168"/>
      <c r="I1995" s="168"/>
      <c r="J1995" s="168">
        <v>702000</v>
      </c>
      <c r="K1995" s="211"/>
      <c r="L1995" s="176"/>
      <c r="M1995" s="156"/>
      <c r="N1995" s="168"/>
      <c r="O1995" s="157"/>
      <c r="P1995" s="165"/>
      <c r="Q1995" s="158"/>
      <c r="R1995" s="223"/>
      <c r="S1995" s="159"/>
      <c r="T1995" s="295"/>
      <c r="U1995" s="161"/>
    </row>
    <row r="1996" spans="1:21" ht="18.75" hidden="1" outlineLevel="3">
      <c r="A1996" s="288"/>
      <c r="B1996" s="171"/>
      <c r="C1996" s="400" t="s">
        <v>1038</v>
      </c>
      <c r="D1996" s="354"/>
      <c r="E1996" s="164"/>
      <c r="F1996" s="165"/>
      <c r="G1996" s="172"/>
      <c r="H1996" s="168"/>
      <c r="I1996" s="168"/>
      <c r="J1996" s="168">
        <v>188800</v>
      </c>
      <c r="K1996" s="211"/>
      <c r="L1996" s="176"/>
      <c r="M1996" s="156"/>
      <c r="N1996" s="168"/>
      <c r="O1996" s="157"/>
      <c r="P1996" s="165"/>
      <c r="Q1996" s="158"/>
      <c r="R1996" s="223"/>
      <c r="S1996" s="159"/>
      <c r="T1996" s="295"/>
      <c r="U1996" s="161"/>
    </row>
    <row r="1997" spans="1:21" ht="18.75" hidden="1" outlineLevel="3">
      <c r="A1997" s="288"/>
      <c r="B1997" s="171"/>
      <c r="C1997" s="400" t="s">
        <v>1039</v>
      </c>
      <c r="D1997" s="354"/>
      <c r="E1997" s="164"/>
      <c r="F1997" s="165"/>
      <c r="G1997" s="172"/>
      <c r="H1997" s="168"/>
      <c r="I1997" s="168"/>
      <c r="J1997" s="168">
        <v>183200</v>
      </c>
      <c r="K1997" s="211"/>
      <c r="L1997" s="176"/>
      <c r="M1997" s="156"/>
      <c r="N1997" s="168"/>
      <c r="O1997" s="157"/>
      <c r="P1997" s="165"/>
      <c r="Q1997" s="158"/>
      <c r="R1997" s="223"/>
      <c r="S1997" s="159"/>
      <c r="T1997" s="295"/>
      <c r="U1997" s="161"/>
    </row>
    <row r="1998" spans="1:21" ht="18.75" hidden="1" outlineLevel="3">
      <c r="A1998" s="288"/>
      <c r="B1998" s="171"/>
      <c r="C1998" s="168" t="s">
        <v>795</v>
      </c>
      <c r="D1998" s="354"/>
      <c r="E1998" s="164"/>
      <c r="F1998" s="165"/>
      <c r="G1998" s="172"/>
      <c r="H1998" s="168"/>
      <c r="I1998" s="168"/>
      <c r="J1998" s="168">
        <v>124020</v>
      </c>
      <c r="K1998" s="211"/>
      <c r="L1998" s="176"/>
      <c r="M1998" s="156"/>
      <c r="N1998" s="168"/>
      <c r="O1998" s="157"/>
      <c r="P1998" s="165"/>
      <c r="Q1998" s="158"/>
      <c r="R1998" s="223"/>
      <c r="S1998" s="159"/>
      <c r="T1998" s="295"/>
      <c r="U1998" s="161"/>
    </row>
    <row r="1999" spans="1:21" ht="18.75" hidden="1" outlineLevel="3">
      <c r="A1999" s="288"/>
      <c r="B1999" s="171"/>
      <c r="C1999" s="400" t="s">
        <v>1040</v>
      </c>
      <c r="D1999" s="354"/>
      <c r="E1999" s="164"/>
      <c r="F1999" s="165"/>
      <c r="G1999" s="172"/>
      <c r="H1999" s="168"/>
      <c r="I1999" s="168"/>
      <c r="J1999" s="168">
        <v>238500</v>
      </c>
      <c r="K1999" s="211"/>
      <c r="L1999" s="176"/>
      <c r="M1999" s="156"/>
      <c r="N1999" s="168"/>
      <c r="O1999" s="157"/>
      <c r="P1999" s="165"/>
      <c r="Q1999" s="158"/>
      <c r="R1999" s="223"/>
      <c r="S1999" s="159"/>
      <c r="T1999" s="295"/>
      <c r="U1999" s="161"/>
    </row>
    <row r="2000" spans="1:21" ht="18.75" hidden="1" outlineLevel="3">
      <c r="A2000" s="288"/>
      <c r="B2000" s="171"/>
      <c r="C2000" s="400" t="s">
        <v>447</v>
      </c>
      <c r="D2000" s="354"/>
      <c r="E2000" s="164"/>
      <c r="F2000" s="165"/>
      <c r="G2000" s="172"/>
      <c r="H2000" s="168"/>
      <c r="I2000" s="168"/>
      <c r="J2000" s="168">
        <v>40000</v>
      </c>
      <c r="K2000" s="211"/>
      <c r="L2000" s="176"/>
      <c r="M2000" s="156"/>
      <c r="N2000" s="168"/>
      <c r="O2000" s="157"/>
      <c r="P2000" s="165"/>
      <c r="Q2000" s="158"/>
      <c r="R2000" s="223"/>
      <c r="S2000" s="159"/>
      <c r="T2000" s="295"/>
      <c r="U2000" s="161"/>
    </row>
    <row r="2001" spans="1:21" ht="18.75" hidden="1" outlineLevel="3">
      <c r="A2001" s="288"/>
      <c r="B2001" s="171"/>
      <c r="C2001" s="400" t="s">
        <v>1041</v>
      </c>
      <c r="D2001" s="354"/>
      <c r="E2001" s="164"/>
      <c r="F2001" s="165"/>
      <c r="G2001" s="172"/>
      <c r="H2001" s="168"/>
      <c r="I2001" s="168"/>
      <c r="J2001" s="168">
        <v>20000</v>
      </c>
      <c r="K2001" s="211"/>
      <c r="L2001" s="176"/>
      <c r="M2001" s="156"/>
      <c r="N2001" s="168"/>
      <c r="O2001" s="157"/>
      <c r="P2001" s="165"/>
      <c r="Q2001" s="158"/>
      <c r="R2001" s="223"/>
      <c r="S2001" s="159"/>
      <c r="T2001" s="295"/>
      <c r="U2001" s="161"/>
    </row>
    <row r="2002" spans="1:21" ht="18.75" hidden="1" outlineLevel="3">
      <c r="A2002" s="288"/>
      <c r="B2002" s="171"/>
      <c r="C2002" s="400" t="s">
        <v>1042</v>
      </c>
      <c r="D2002" s="354"/>
      <c r="E2002" s="164"/>
      <c r="F2002" s="165"/>
      <c r="G2002" s="172"/>
      <c r="H2002" s="168"/>
      <c r="I2002" s="168"/>
      <c r="J2002" s="168">
        <v>74400</v>
      </c>
      <c r="K2002" s="211"/>
      <c r="L2002" s="176"/>
      <c r="M2002" s="156"/>
      <c r="N2002" s="168"/>
      <c r="O2002" s="157"/>
      <c r="P2002" s="165"/>
      <c r="Q2002" s="158"/>
      <c r="R2002" s="223"/>
      <c r="S2002" s="159"/>
      <c r="T2002" s="295"/>
      <c r="U2002" s="161"/>
    </row>
    <row r="2003" spans="1:21" ht="18.75" hidden="1" outlineLevel="3">
      <c r="A2003" s="288"/>
      <c r="B2003" s="171"/>
      <c r="C2003" s="400" t="s">
        <v>1043</v>
      </c>
      <c r="D2003" s="354"/>
      <c r="E2003" s="164"/>
      <c r="F2003" s="165"/>
      <c r="G2003" s="172"/>
      <c r="H2003" s="168"/>
      <c r="I2003" s="168"/>
      <c r="J2003" s="168">
        <v>194400</v>
      </c>
      <c r="K2003" s="211"/>
      <c r="L2003" s="176"/>
      <c r="M2003" s="156"/>
      <c r="N2003" s="168"/>
      <c r="O2003" s="157"/>
      <c r="P2003" s="165"/>
      <c r="Q2003" s="158"/>
      <c r="R2003" s="223"/>
      <c r="S2003" s="159"/>
      <c r="T2003" s="295"/>
      <c r="U2003" s="161"/>
    </row>
    <row r="2004" spans="1:21" ht="18.75" hidden="1" outlineLevel="3">
      <c r="A2004" s="288"/>
      <c r="B2004" s="171"/>
      <c r="C2004" s="400" t="s">
        <v>1044</v>
      </c>
      <c r="D2004" s="354"/>
      <c r="E2004" s="164"/>
      <c r="F2004" s="165"/>
      <c r="G2004" s="172"/>
      <c r="H2004" s="168"/>
      <c r="I2004" s="168"/>
      <c r="J2004" s="168">
        <v>141200</v>
      </c>
      <c r="K2004" s="211"/>
      <c r="L2004" s="176"/>
      <c r="M2004" s="156"/>
      <c r="N2004" s="168"/>
      <c r="O2004" s="157"/>
      <c r="P2004" s="165"/>
      <c r="Q2004" s="158"/>
      <c r="R2004" s="223"/>
      <c r="S2004" s="159"/>
      <c r="T2004" s="295"/>
      <c r="U2004" s="161"/>
    </row>
    <row r="2005" spans="1:21" ht="18.75" hidden="1" outlineLevel="3">
      <c r="A2005" s="288"/>
      <c r="B2005" s="171"/>
      <c r="C2005" s="400" t="s">
        <v>1045</v>
      </c>
      <c r="D2005" s="354"/>
      <c r="E2005" s="164"/>
      <c r="F2005" s="165"/>
      <c r="G2005" s="172"/>
      <c r="H2005" s="168"/>
      <c r="I2005" s="168"/>
      <c r="J2005" s="168">
        <v>119880</v>
      </c>
      <c r="K2005" s="211"/>
      <c r="L2005" s="176"/>
      <c r="M2005" s="156"/>
      <c r="N2005" s="168"/>
      <c r="O2005" s="157"/>
      <c r="P2005" s="165"/>
      <c r="Q2005" s="158"/>
      <c r="R2005" s="223"/>
      <c r="S2005" s="159"/>
      <c r="T2005" s="295"/>
      <c r="U2005" s="161"/>
    </row>
    <row r="2006" spans="1:21" ht="18.75" hidden="1" outlineLevel="3">
      <c r="A2006" s="288"/>
      <c r="B2006" s="171"/>
      <c r="C2006" s="400" t="s">
        <v>448</v>
      </c>
      <c r="D2006" s="354"/>
      <c r="E2006" s="164"/>
      <c r="F2006" s="165"/>
      <c r="G2006" s="172"/>
      <c r="H2006" s="168"/>
      <c r="I2006" s="168"/>
      <c r="J2006" s="168">
        <v>39000</v>
      </c>
      <c r="K2006" s="211"/>
      <c r="L2006" s="176"/>
      <c r="M2006" s="156"/>
      <c r="N2006" s="168"/>
      <c r="O2006" s="157"/>
      <c r="P2006" s="165"/>
      <c r="Q2006" s="158"/>
      <c r="R2006" s="223"/>
      <c r="S2006" s="159"/>
      <c r="T2006" s="295"/>
      <c r="U2006" s="161"/>
    </row>
    <row r="2007" spans="1:21" ht="18.75" hidden="1" outlineLevel="3">
      <c r="A2007" s="288"/>
      <c r="B2007" s="171"/>
      <c r="C2007" s="400" t="s">
        <v>1046</v>
      </c>
      <c r="D2007" s="354"/>
      <c r="E2007" s="164"/>
      <c r="F2007" s="165"/>
      <c r="G2007" s="172"/>
      <c r="H2007" s="168"/>
      <c r="I2007" s="168"/>
      <c r="J2007" s="168">
        <v>150400</v>
      </c>
      <c r="K2007" s="211"/>
      <c r="L2007" s="176"/>
      <c r="M2007" s="156"/>
      <c r="N2007" s="168"/>
      <c r="O2007" s="157"/>
      <c r="P2007" s="165"/>
      <c r="Q2007" s="158"/>
      <c r="R2007" s="223"/>
      <c r="S2007" s="159"/>
      <c r="T2007" s="295"/>
      <c r="U2007" s="161"/>
    </row>
    <row r="2008" spans="1:21" ht="18.75" hidden="1" outlineLevel="3">
      <c r="A2008" s="288"/>
      <c r="B2008" s="171"/>
      <c r="C2008" s="400" t="s">
        <v>1047</v>
      </c>
      <c r="D2008" s="354"/>
      <c r="E2008" s="164"/>
      <c r="F2008" s="165"/>
      <c r="G2008" s="172"/>
      <c r="H2008" s="168"/>
      <c r="I2008" s="168"/>
      <c r="J2008" s="168">
        <v>110000</v>
      </c>
      <c r="K2008" s="211"/>
      <c r="L2008" s="176"/>
      <c r="M2008" s="156"/>
      <c r="N2008" s="168"/>
      <c r="O2008" s="157"/>
      <c r="P2008" s="165"/>
      <c r="Q2008" s="158"/>
      <c r="R2008" s="223"/>
      <c r="S2008" s="159"/>
      <c r="T2008" s="295"/>
      <c r="U2008" s="161"/>
    </row>
    <row r="2009" spans="1:21" ht="18.75" hidden="1" outlineLevel="3">
      <c r="A2009" s="288"/>
      <c r="B2009" s="171"/>
      <c r="C2009" s="400" t="s">
        <v>788</v>
      </c>
      <c r="D2009" s="354"/>
      <c r="E2009" s="164"/>
      <c r="F2009" s="165"/>
      <c r="G2009" s="172"/>
      <c r="H2009" s="168"/>
      <c r="I2009" s="168"/>
      <c r="J2009" s="168">
        <v>134400</v>
      </c>
      <c r="K2009" s="211"/>
      <c r="L2009" s="176"/>
      <c r="M2009" s="156"/>
      <c r="N2009" s="168"/>
      <c r="O2009" s="157"/>
      <c r="P2009" s="165"/>
      <c r="Q2009" s="158"/>
      <c r="R2009" s="223"/>
      <c r="S2009" s="159"/>
      <c r="T2009" s="295"/>
      <c r="U2009" s="161"/>
    </row>
    <row r="2010" spans="1:21" ht="18.75" hidden="1" outlineLevel="3">
      <c r="A2010" s="288"/>
      <c r="B2010" s="171"/>
      <c r="C2010" s="400" t="s">
        <v>449</v>
      </c>
      <c r="D2010" s="354"/>
      <c r="E2010" s="164"/>
      <c r="F2010" s="165"/>
      <c r="G2010" s="172"/>
      <c r="H2010" s="168"/>
      <c r="I2010" s="168"/>
      <c r="J2010" s="168">
        <v>184000</v>
      </c>
      <c r="K2010" s="211"/>
      <c r="L2010" s="176"/>
      <c r="M2010" s="156"/>
      <c r="N2010" s="168"/>
      <c r="O2010" s="157"/>
      <c r="P2010" s="165"/>
      <c r="Q2010" s="158"/>
      <c r="R2010" s="223"/>
      <c r="S2010" s="159"/>
      <c r="T2010" s="295"/>
      <c r="U2010" s="161"/>
    </row>
    <row r="2011" spans="1:21" ht="18.75" hidden="1" outlineLevel="2" collapsed="1">
      <c r="A2011" s="288"/>
      <c r="B2011" s="171"/>
      <c r="C2011" s="416" t="s">
        <v>1077</v>
      </c>
      <c r="D2011" s="354"/>
      <c r="E2011" s="164"/>
      <c r="F2011" s="165"/>
      <c r="G2011" s="172"/>
      <c r="H2011" s="168"/>
      <c r="I2011" s="168"/>
      <c r="J2011" s="250">
        <f>CIP!$AU$100</f>
        <v>0</v>
      </c>
      <c r="K2011" s="211"/>
      <c r="L2011" s="176">
        <f t="shared" ref="L2011:L2032" si="147">SUM(G2011:K2011)</f>
        <v>0</v>
      </c>
      <c r="M2011" s="156"/>
      <c r="N2011" s="168"/>
      <c r="O2011" s="157"/>
      <c r="P2011" s="165"/>
      <c r="Q2011" s="158"/>
      <c r="R2011" s="223"/>
      <c r="S2011" s="159"/>
      <c r="T2011" s="295" t="s">
        <v>1068</v>
      </c>
      <c r="U2011" s="161"/>
    </row>
    <row r="2012" spans="1:21" ht="18.75" hidden="1" outlineLevel="3">
      <c r="A2012" s="288"/>
      <c r="B2012" s="171"/>
      <c r="C2012" s="400" t="s">
        <v>1048</v>
      </c>
      <c r="D2012" s="354"/>
      <c r="E2012" s="164"/>
      <c r="F2012" s="165"/>
      <c r="G2012" s="172"/>
      <c r="H2012" s="168"/>
      <c r="I2012" s="168"/>
      <c r="J2012" s="250"/>
      <c r="K2012" s="211">
        <v>133600</v>
      </c>
      <c r="L2012" s="176"/>
      <c r="M2012" s="156"/>
      <c r="N2012" s="168"/>
      <c r="O2012" s="157"/>
      <c r="P2012" s="165"/>
      <c r="Q2012" s="158"/>
      <c r="R2012" s="223"/>
      <c r="S2012" s="159"/>
      <c r="T2012" s="295"/>
      <c r="U2012" s="161"/>
    </row>
    <row r="2013" spans="1:21" ht="18.75" hidden="1" outlineLevel="3">
      <c r="A2013" s="288"/>
      <c r="B2013" s="171"/>
      <c r="C2013" s="400" t="s">
        <v>1049</v>
      </c>
      <c r="D2013" s="354"/>
      <c r="E2013" s="164"/>
      <c r="F2013" s="165"/>
      <c r="G2013" s="172"/>
      <c r="H2013" s="168"/>
      <c r="I2013" s="168"/>
      <c r="J2013" s="250"/>
      <c r="K2013" s="211">
        <v>55200</v>
      </c>
      <c r="L2013" s="176"/>
      <c r="M2013" s="156"/>
      <c r="N2013" s="168"/>
      <c r="O2013" s="157"/>
      <c r="P2013" s="165"/>
      <c r="Q2013" s="158"/>
      <c r="R2013" s="223"/>
      <c r="S2013" s="159"/>
      <c r="T2013" s="295"/>
      <c r="U2013" s="161"/>
    </row>
    <row r="2014" spans="1:21" ht="18.75" hidden="1" outlineLevel="3">
      <c r="A2014" s="288"/>
      <c r="B2014" s="171"/>
      <c r="C2014" s="400" t="s">
        <v>778</v>
      </c>
      <c r="D2014" s="354"/>
      <c r="E2014" s="164"/>
      <c r="F2014" s="165"/>
      <c r="G2014" s="172"/>
      <c r="H2014" s="168"/>
      <c r="I2014" s="168"/>
      <c r="J2014" s="250"/>
      <c r="K2014" s="211">
        <v>228600</v>
      </c>
      <c r="L2014" s="176"/>
      <c r="M2014" s="156"/>
      <c r="N2014" s="168"/>
      <c r="O2014" s="157"/>
      <c r="P2014" s="165"/>
      <c r="Q2014" s="158"/>
      <c r="R2014" s="223"/>
      <c r="S2014" s="159"/>
      <c r="T2014" s="295"/>
      <c r="U2014" s="161"/>
    </row>
    <row r="2015" spans="1:21" ht="18.75" hidden="1" outlineLevel="3">
      <c r="A2015" s="288"/>
      <c r="B2015" s="171"/>
      <c r="C2015" s="400" t="s">
        <v>1050</v>
      </c>
      <c r="D2015" s="354"/>
      <c r="E2015" s="164"/>
      <c r="F2015" s="165"/>
      <c r="G2015" s="172"/>
      <c r="H2015" s="168"/>
      <c r="I2015" s="168"/>
      <c r="J2015" s="250"/>
      <c r="K2015" s="211">
        <v>57600</v>
      </c>
      <c r="L2015" s="176"/>
      <c r="M2015" s="156"/>
      <c r="N2015" s="168"/>
      <c r="O2015" s="157"/>
      <c r="P2015" s="165"/>
      <c r="Q2015" s="158"/>
      <c r="R2015" s="223"/>
      <c r="S2015" s="159"/>
      <c r="T2015" s="295"/>
      <c r="U2015" s="161"/>
    </row>
    <row r="2016" spans="1:21" ht="18.75" hidden="1" outlineLevel="3">
      <c r="A2016" s="288"/>
      <c r="B2016" s="171"/>
      <c r="C2016" s="400" t="s">
        <v>791</v>
      </c>
      <c r="D2016" s="354"/>
      <c r="E2016" s="164"/>
      <c r="F2016" s="165"/>
      <c r="G2016" s="172"/>
      <c r="H2016" s="168"/>
      <c r="I2016" s="168"/>
      <c r="J2016" s="250"/>
      <c r="K2016" s="211">
        <v>830000</v>
      </c>
      <c r="L2016" s="176"/>
      <c r="M2016" s="156"/>
      <c r="N2016" s="168"/>
      <c r="O2016" s="157"/>
      <c r="P2016" s="165"/>
      <c r="Q2016" s="158"/>
      <c r="R2016" s="223"/>
      <c r="S2016" s="159"/>
      <c r="T2016" s="295"/>
      <c r="U2016" s="161"/>
    </row>
    <row r="2017" spans="1:21" ht="18.75" hidden="1" outlineLevel="3">
      <c r="A2017" s="288"/>
      <c r="B2017" s="171"/>
      <c r="C2017" s="400" t="s">
        <v>450</v>
      </c>
      <c r="D2017" s="354"/>
      <c r="E2017" s="164"/>
      <c r="F2017" s="165"/>
      <c r="G2017" s="172"/>
      <c r="H2017" s="168"/>
      <c r="I2017" s="168"/>
      <c r="J2017" s="168"/>
      <c r="K2017" s="211">
        <v>160400</v>
      </c>
      <c r="L2017" s="176"/>
      <c r="M2017" s="156"/>
      <c r="N2017" s="168"/>
      <c r="O2017" s="157"/>
      <c r="P2017" s="165"/>
      <c r="Q2017" s="158"/>
      <c r="R2017" s="223"/>
      <c r="S2017" s="159"/>
      <c r="T2017" s="295"/>
      <c r="U2017" s="161"/>
    </row>
    <row r="2018" spans="1:21" ht="18.75" hidden="1" outlineLevel="3">
      <c r="A2018" s="288"/>
      <c r="B2018" s="171"/>
      <c r="C2018" s="400" t="s">
        <v>1051</v>
      </c>
      <c r="D2018" s="354"/>
      <c r="E2018" s="164"/>
      <c r="F2018" s="165"/>
      <c r="G2018" s="172"/>
      <c r="H2018" s="168"/>
      <c r="I2018" s="168"/>
      <c r="J2018" s="168"/>
      <c r="K2018" s="211">
        <v>191200</v>
      </c>
      <c r="L2018" s="176"/>
      <c r="M2018" s="156"/>
      <c r="N2018" s="168"/>
      <c r="O2018" s="157"/>
      <c r="P2018" s="165"/>
      <c r="Q2018" s="158"/>
      <c r="R2018" s="223"/>
      <c r="S2018" s="159"/>
      <c r="T2018" s="295"/>
      <c r="U2018" s="161"/>
    </row>
    <row r="2019" spans="1:21" ht="18.75" hidden="1" outlineLevel="3">
      <c r="A2019" s="288"/>
      <c r="B2019" s="171"/>
      <c r="C2019" s="400" t="s">
        <v>1052</v>
      </c>
      <c r="D2019" s="354"/>
      <c r="E2019" s="164"/>
      <c r="F2019" s="165"/>
      <c r="G2019" s="172"/>
      <c r="H2019" s="168"/>
      <c r="I2019" s="168"/>
      <c r="J2019" s="168"/>
      <c r="K2019" s="211">
        <v>128400</v>
      </c>
      <c r="L2019" s="176"/>
      <c r="M2019" s="156"/>
      <c r="N2019" s="168"/>
      <c r="O2019" s="157"/>
      <c r="P2019" s="165"/>
      <c r="Q2019" s="158"/>
      <c r="R2019" s="223"/>
      <c r="S2019" s="159"/>
      <c r="T2019" s="295"/>
      <c r="U2019" s="161"/>
    </row>
    <row r="2020" spans="1:21" ht="18.75" hidden="1" outlineLevel="3">
      <c r="A2020" s="288"/>
      <c r="B2020" s="171"/>
      <c r="C2020" s="400" t="s">
        <v>786</v>
      </c>
      <c r="D2020" s="354"/>
      <c r="E2020" s="164"/>
      <c r="F2020" s="165"/>
      <c r="G2020" s="172"/>
      <c r="H2020" s="168"/>
      <c r="I2020" s="168"/>
      <c r="J2020" s="168"/>
      <c r="K2020" s="211">
        <v>240800</v>
      </c>
      <c r="L2020" s="176"/>
      <c r="M2020" s="156"/>
      <c r="N2020" s="168"/>
      <c r="O2020" s="157"/>
      <c r="P2020" s="165"/>
      <c r="Q2020" s="158"/>
      <c r="R2020" s="223"/>
      <c r="S2020" s="159"/>
      <c r="T2020" s="295"/>
      <c r="U2020" s="161"/>
    </row>
    <row r="2021" spans="1:21" ht="18.75" hidden="1" outlineLevel="3">
      <c r="A2021" s="288"/>
      <c r="B2021" s="171"/>
      <c r="C2021" s="400" t="s">
        <v>1053</v>
      </c>
      <c r="D2021" s="354"/>
      <c r="E2021" s="164"/>
      <c r="F2021" s="165"/>
      <c r="G2021" s="172"/>
      <c r="H2021" s="168"/>
      <c r="I2021" s="168"/>
      <c r="J2021" s="168"/>
      <c r="K2021" s="211">
        <v>321200</v>
      </c>
      <c r="L2021" s="176"/>
      <c r="M2021" s="156"/>
      <c r="N2021" s="168"/>
      <c r="O2021" s="157"/>
      <c r="P2021" s="165"/>
      <c r="Q2021" s="158"/>
      <c r="R2021" s="223"/>
      <c r="S2021" s="159"/>
      <c r="T2021" s="295"/>
      <c r="U2021" s="161"/>
    </row>
    <row r="2022" spans="1:21" ht="18.75" hidden="1" outlineLevel="3">
      <c r="A2022" s="288"/>
      <c r="B2022" s="171"/>
      <c r="C2022" s="400" t="s">
        <v>1054</v>
      </c>
      <c r="D2022" s="354"/>
      <c r="E2022" s="164"/>
      <c r="F2022" s="165"/>
      <c r="G2022" s="172"/>
      <c r="H2022" s="168"/>
      <c r="I2022" s="168"/>
      <c r="J2022" s="168"/>
      <c r="K2022" s="211">
        <v>196000</v>
      </c>
      <c r="L2022" s="176"/>
      <c r="M2022" s="156"/>
      <c r="N2022" s="168"/>
      <c r="O2022" s="157"/>
      <c r="P2022" s="165"/>
      <c r="Q2022" s="158"/>
      <c r="R2022" s="223"/>
      <c r="S2022" s="159"/>
      <c r="T2022" s="295"/>
      <c r="U2022" s="161"/>
    </row>
    <row r="2023" spans="1:21" ht="18.75" hidden="1" outlineLevel="3">
      <c r="A2023" s="288"/>
      <c r="B2023" s="171"/>
      <c r="C2023" s="400" t="s">
        <v>1055</v>
      </c>
      <c r="D2023" s="354"/>
      <c r="E2023" s="164"/>
      <c r="F2023" s="165"/>
      <c r="G2023" s="172"/>
      <c r="H2023" s="168"/>
      <c r="I2023" s="168"/>
      <c r="J2023" s="168"/>
      <c r="K2023" s="211">
        <v>210000</v>
      </c>
      <c r="L2023" s="176"/>
      <c r="M2023" s="156"/>
      <c r="N2023" s="168"/>
      <c r="O2023" s="157"/>
      <c r="P2023" s="165"/>
      <c r="Q2023" s="158"/>
      <c r="R2023" s="223"/>
      <c r="S2023" s="159"/>
      <c r="T2023" s="295"/>
      <c r="U2023" s="161"/>
    </row>
    <row r="2024" spans="1:21" ht="18.75" hidden="1" outlineLevel="3">
      <c r="A2024" s="288"/>
      <c r="B2024" s="171"/>
      <c r="C2024" s="400" t="s">
        <v>752</v>
      </c>
      <c r="D2024" s="354"/>
      <c r="E2024" s="164"/>
      <c r="F2024" s="165"/>
      <c r="G2024" s="172"/>
      <c r="H2024" s="168"/>
      <c r="I2024" s="168"/>
      <c r="J2024" s="168"/>
      <c r="K2024" s="211">
        <v>226800</v>
      </c>
      <c r="L2024" s="176"/>
      <c r="M2024" s="156"/>
      <c r="N2024" s="168"/>
      <c r="O2024" s="157"/>
      <c r="P2024" s="165"/>
      <c r="Q2024" s="158"/>
      <c r="R2024" s="223"/>
      <c r="S2024" s="159"/>
      <c r="T2024" s="295"/>
      <c r="U2024" s="161"/>
    </row>
    <row r="2025" spans="1:21" ht="18.75" hidden="1" outlineLevel="3">
      <c r="A2025" s="288"/>
      <c r="B2025" s="171"/>
      <c r="C2025" s="400" t="s">
        <v>1056</v>
      </c>
      <c r="D2025" s="354"/>
      <c r="E2025" s="164"/>
      <c r="F2025" s="165"/>
      <c r="G2025" s="172"/>
      <c r="H2025" s="168"/>
      <c r="I2025" s="168"/>
      <c r="J2025" s="168"/>
      <c r="K2025" s="211">
        <v>304200</v>
      </c>
      <c r="L2025" s="176"/>
      <c r="M2025" s="156"/>
      <c r="N2025" s="168"/>
      <c r="O2025" s="157"/>
      <c r="P2025" s="165"/>
      <c r="Q2025" s="158"/>
      <c r="R2025" s="223"/>
      <c r="S2025" s="159"/>
      <c r="T2025" s="295"/>
      <c r="U2025" s="161"/>
    </row>
    <row r="2026" spans="1:21" ht="18.75" hidden="1" outlineLevel="3">
      <c r="A2026" s="288"/>
      <c r="B2026" s="171"/>
      <c r="C2026" s="400" t="s">
        <v>1057</v>
      </c>
      <c r="D2026" s="354"/>
      <c r="E2026" s="164"/>
      <c r="F2026" s="165"/>
      <c r="G2026" s="172"/>
      <c r="H2026" s="168"/>
      <c r="I2026" s="168"/>
      <c r="J2026" s="168"/>
      <c r="K2026" s="211">
        <v>27600</v>
      </c>
      <c r="L2026" s="176"/>
      <c r="M2026" s="156"/>
      <c r="N2026" s="168"/>
      <c r="O2026" s="157"/>
      <c r="P2026" s="165"/>
      <c r="Q2026" s="158"/>
      <c r="R2026" s="223"/>
      <c r="S2026" s="159"/>
      <c r="T2026" s="295"/>
      <c r="U2026" s="161"/>
    </row>
    <row r="2027" spans="1:21" ht="18.75" hidden="1" outlineLevel="3">
      <c r="A2027" s="288"/>
      <c r="B2027" s="171"/>
      <c r="C2027" s="400" t="s">
        <v>1058</v>
      </c>
      <c r="D2027" s="354"/>
      <c r="E2027" s="164"/>
      <c r="F2027" s="165"/>
      <c r="G2027" s="172"/>
      <c r="H2027" s="168"/>
      <c r="I2027" s="168"/>
      <c r="J2027" s="168"/>
      <c r="K2027" s="211">
        <v>240800</v>
      </c>
      <c r="L2027" s="176"/>
      <c r="M2027" s="156"/>
      <c r="N2027" s="168"/>
      <c r="O2027" s="157"/>
      <c r="P2027" s="165"/>
      <c r="Q2027" s="158"/>
      <c r="R2027" s="223"/>
      <c r="S2027" s="159"/>
      <c r="T2027" s="295"/>
      <c r="U2027" s="161"/>
    </row>
    <row r="2028" spans="1:21" ht="18.75" hidden="1" outlineLevel="3">
      <c r="A2028" s="288"/>
      <c r="B2028" s="171"/>
      <c r="C2028" s="400" t="s">
        <v>1059</v>
      </c>
      <c r="D2028" s="354"/>
      <c r="E2028" s="164"/>
      <c r="F2028" s="165"/>
      <c r="G2028" s="172"/>
      <c r="H2028" s="168"/>
      <c r="I2028" s="168"/>
      <c r="J2028" s="168"/>
      <c r="K2028" s="211">
        <v>111600</v>
      </c>
      <c r="L2028" s="176"/>
      <c r="M2028" s="156"/>
      <c r="N2028" s="168"/>
      <c r="O2028" s="157"/>
      <c r="P2028" s="165"/>
      <c r="Q2028" s="158"/>
      <c r="R2028" s="223"/>
      <c r="S2028" s="159"/>
      <c r="T2028" s="295"/>
      <c r="U2028" s="161"/>
    </row>
    <row r="2029" spans="1:21" ht="18.75" hidden="1" outlineLevel="3">
      <c r="A2029" s="288"/>
      <c r="B2029" s="171"/>
      <c r="C2029" s="400" t="s">
        <v>1060</v>
      </c>
      <c r="D2029" s="354"/>
      <c r="E2029" s="164"/>
      <c r="F2029" s="165"/>
      <c r="G2029" s="172"/>
      <c r="H2029" s="168"/>
      <c r="I2029" s="168"/>
      <c r="J2029" s="168"/>
      <c r="K2029" s="211">
        <v>119600</v>
      </c>
      <c r="L2029" s="176"/>
      <c r="M2029" s="156"/>
      <c r="N2029" s="168"/>
      <c r="O2029" s="157"/>
      <c r="P2029" s="165"/>
      <c r="Q2029" s="158"/>
      <c r="R2029" s="223"/>
      <c r="S2029" s="159"/>
      <c r="T2029" s="295"/>
      <c r="U2029" s="161"/>
    </row>
    <row r="2030" spans="1:21" ht="18.75" hidden="1" outlineLevel="3">
      <c r="A2030" s="288"/>
      <c r="B2030" s="171"/>
      <c r="C2030" s="400" t="s">
        <v>1061</v>
      </c>
      <c r="D2030" s="354"/>
      <c r="E2030" s="164"/>
      <c r="F2030" s="165"/>
      <c r="G2030" s="172"/>
      <c r="H2030" s="168"/>
      <c r="I2030" s="168"/>
      <c r="J2030" s="168"/>
      <c r="K2030" s="211">
        <v>291000</v>
      </c>
      <c r="L2030" s="176"/>
      <c r="M2030" s="156"/>
      <c r="N2030" s="168"/>
      <c r="O2030" s="157"/>
      <c r="P2030" s="165"/>
      <c r="Q2030" s="158"/>
      <c r="R2030" s="223"/>
      <c r="S2030" s="159"/>
      <c r="T2030" s="295"/>
      <c r="U2030" s="161"/>
    </row>
    <row r="2031" spans="1:21" ht="18.75" hidden="1" outlineLevel="2" collapsed="1">
      <c r="A2031" s="288"/>
      <c r="B2031" s="171"/>
      <c r="C2031" s="416" t="s">
        <v>1078</v>
      </c>
      <c r="D2031" s="354"/>
      <c r="E2031" s="164"/>
      <c r="F2031" s="165"/>
      <c r="G2031" s="172"/>
      <c r="H2031" s="168"/>
      <c r="I2031" s="168"/>
      <c r="J2031" s="168"/>
      <c r="K2031" s="403">
        <f>CIP!$AV$125</f>
        <v>0</v>
      </c>
      <c r="L2031" s="176">
        <f t="shared" si="147"/>
        <v>0</v>
      </c>
      <c r="M2031" s="156"/>
      <c r="N2031" s="168"/>
      <c r="O2031" s="157"/>
      <c r="P2031" s="165"/>
      <c r="Q2031" s="158"/>
      <c r="R2031" s="223"/>
      <c r="S2031" s="159"/>
      <c r="T2031" s="295" t="s">
        <v>1068</v>
      </c>
      <c r="U2031" s="161"/>
    </row>
    <row r="2032" spans="1:21" ht="18.75" hidden="1" outlineLevel="1" collapsed="1">
      <c r="A2032" s="288"/>
      <c r="B2032" s="230"/>
      <c r="C2032" s="534" t="s">
        <v>831</v>
      </c>
      <c r="E2032" s="164"/>
      <c r="F2032" s="165"/>
      <c r="G2032" s="172">
        <f>SUM(G1963,G1976)</f>
        <v>1975000</v>
      </c>
      <c r="H2032" s="168">
        <f>SUM(H1972)</f>
        <v>0</v>
      </c>
      <c r="I2032" s="168">
        <f>SUM(I1989)</f>
        <v>0</v>
      </c>
      <c r="J2032" s="168">
        <f>SUM(J2011)</f>
        <v>0</v>
      </c>
      <c r="K2032" s="168">
        <f>SUM(K2031)</f>
        <v>0</v>
      </c>
      <c r="L2032" s="176">
        <f t="shared" si="147"/>
        <v>1975000</v>
      </c>
      <c r="M2032" s="156">
        <v>20301000</v>
      </c>
      <c r="N2032" s="168"/>
      <c r="O2032" s="156">
        <v>20301000</v>
      </c>
      <c r="P2032" s="168"/>
      <c r="Q2032" s="259">
        <v>20301000</v>
      </c>
      <c r="R2032" s="223"/>
      <c r="S2032" s="159"/>
      <c r="T2032" s="295"/>
      <c r="U2032" s="296" t="s">
        <v>1164</v>
      </c>
    </row>
    <row r="2033" spans="1:21" ht="16.5" customHeight="1" collapsed="1">
      <c r="A2033" s="288"/>
      <c r="B2033" s="289"/>
      <c r="C2033" s="198" t="s">
        <v>833</v>
      </c>
      <c r="D2033" s="351"/>
      <c r="E2033" s="164"/>
      <c r="F2033" s="165"/>
      <c r="G2033" s="249">
        <f>SUM(G2032:G2032)</f>
        <v>1975000</v>
      </c>
      <c r="H2033" s="244">
        <f>SUM(H2032:H2032)</f>
        <v>0</v>
      </c>
      <c r="I2033" s="244">
        <f>SUM(I2032:I2032)</f>
        <v>0</v>
      </c>
      <c r="J2033" s="244">
        <f>SUM(J2032:J2032)</f>
        <v>0</v>
      </c>
      <c r="K2033" s="255">
        <f>SUM(K2032:K2032)</f>
        <v>0</v>
      </c>
      <c r="L2033" s="159">
        <f>SUM(G2033:K2033)</f>
        <v>1975000</v>
      </c>
      <c r="M2033" s="156">
        <f>SUM(M2032:M2032)</f>
        <v>20301000</v>
      </c>
      <c r="N2033" s="244">
        <f>M2033*1.23</f>
        <v>24970230</v>
      </c>
      <c r="O2033" s="157">
        <f>SUM(O2032:O2032)</f>
        <v>20301000</v>
      </c>
      <c r="P2033" s="248">
        <f>O2033*1.46</f>
        <v>29639460</v>
      </c>
      <c r="Q2033" s="158">
        <f>SUM(Q1953:Q2032)</f>
        <v>20301000</v>
      </c>
      <c r="R2033" s="255">
        <f>Q2033*1.73</f>
        <v>35120730</v>
      </c>
      <c r="S2033" s="159">
        <f t="shared" ref="S2033:S2037" si="148">SUM(L2033,N2033,P2033,R2033)</f>
        <v>91705420</v>
      </c>
      <c r="T2033" s="295"/>
      <c r="U2033" s="161" t="s">
        <v>514</v>
      </c>
    </row>
    <row r="2034" spans="1:21" ht="15.75" hidden="1" outlineLevel="1">
      <c r="A2034" s="229" t="s">
        <v>834</v>
      </c>
      <c r="B2034" s="163"/>
      <c r="C2034" s="331"/>
      <c r="D2034" s="356"/>
      <c r="E2034" s="164"/>
      <c r="F2034" s="165"/>
      <c r="G2034" s="172"/>
      <c r="H2034" s="164"/>
      <c r="I2034" s="164"/>
      <c r="J2034" s="164"/>
      <c r="K2034" s="223"/>
      <c r="L2034" s="176"/>
      <c r="M2034" s="156"/>
      <c r="N2034" s="250"/>
      <c r="O2034" s="157"/>
      <c r="P2034" s="248"/>
      <c r="Q2034" s="158"/>
      <c r="R2034" s="255"/>
      <c r="S2034" s="159"/>
      <c r="T2034" s="225"/>
      <c r="U2034" s="161"/>
    </row>
    <row r="2035" spans="1:21" ht="18.75" hidden="1" outlineLevel="1">
      <c r="A2035" s="288"/>
      <c r="B2035" s="230"/>
      <c r="C2035" s="534" t="s">
        <v>835</v>
      </c>
      <c r="D2035" s="352"/>
      <c r="E2035" s="164"/>
      <c r="F2035" s="165"/>
      <c r="G2035" s="172"/>
      <c r="H2035" s="164"/>
      <c r="I2035" s="164"/>
      <c r="J2035" s="164"/>
      <c r="K2035" s="223"/>
      <c r="L2035" s="176"/>
      <c r="M2035" s="156"/>
      <c r="N2035" s="250"/>
      <c r="O2035" s="157">
        <v>100000</v>
      </c>
      <c r="P2035" s="248">
        <f>O2035*1.46</f>
        <v>146000</v>
      </c>
      <c r="Q2035" s="158"/>
      <c r="R2035" s="255"/>
      <c r="S2035" s="159">
        <f t="shared" si="148"/>
        <v>146000</v>
      </c>
      <c r="T2035" s="225"/>
      <c r="U2035" s="161" t="s">
        <v>1165</v>
      </c>
    </row>
    <row r="2036" spans="1:21" ht="18.75" hidden="1" outlineLevel="1">
      <c r="A2036" s="288"/>
      <c r="B2036" s="230"/>
      <c r="C2036" s="534" t="s">
        <v>836</v>
      </c>
      <c r="D2036" s="352"/>
      <c r="E2036" s="164"/>
      <c r="F2036" s="165"/>
      <c r="G2036" s="172"/>
      <c r="H2036" s="164">
        <f>CIP!$AS$65</f>
        <v>0</v>
      </c>
      <c r="I2036" s="164"/>
      <c r="J2036" s="164"/>
      <c r="K2036" s="223"/>
      <c r="L2036" s="176">
        <f>SUM(G2036:K2036)</f>
        <v>0</v>
      </c>
      <c r="M2036" s="156"/>
      <c r="N2036" s="250"/>
      <c r="O2036" s="157"/>
      <c r="P2036" s="248"/>
      <c r="Q2036" s="158">
        <v>100000</v>
      </c>
      <c r="R2036" s="255">
        <f>Q2036*1.73</f>
        <v>173000</v>
      </c>
      <c r="S2036" s="159">
        <f t="shared" si="148"/>
        <v>173000</v>
      </c>
      <c r="T2036" s="225"/>
      <c r="U2036" s="161" t="s">
        <v>1166</v>
      </c>
    </row>
    <row r="2037" spans="1:21" ht="18.75" hidden="1" outlineLevel="1">
      <c r="A2037" s="288"/>
      <c r="B2037" s="230"/>
      <c r="C2037" s="534" t="s">
        <v>837</v>
      </c>
      <c r="D2037" s="352"/>
      <c r="E2037" s="164"/>
      <c r="F2037" s="165"/>
      <c r="G2037" s="172"/>
      <c r="H2037" s="164"/>
      <c r="I2037" s="164"/>
      <c r="J2037" s="164"/>
      <c r="K2037" s="223"/>
      <c r="L2037" s="176"/>
      <c r="M2037" s="156">
        <v>100000</v>
      </c>
      <c r="N2037" s="250">
        <f>M2037*1.23</f>
        <v>123000</v>
      </c>
      <c r="O2037" s="157"/>
      <c r="P2037" s="248"/>
      <c r="Q2037" s="158"/>
      <c r="R2037" s="255"/>
      <c r="S2037" s="159">
        <f t="shared" si="148"/>
        <v>123000</v>
      </c>
      <c r="T2037" s="225"/>
      <c r="U2037" s="161" t="s">
        <v>1165</v>
      </c>
    </row>
    <row r="2038" spans="1:21" ht="16.5" customHeight="1" collapsed="1">
      <c r="A2038" s="288"/>
      <c r="B2038" s="289"/>
      <c r="C2038" s="198" t="s">
        <v>838</v>
      </c>
      <c r="D2038" s="351"/>
      <c r="E2038" s="164"/>
      <c r="F2038" s="165"/>
      <c r="G2038" s="249"/>
      <c r="H2038" s="251">
        <f>SUM(H2035:H2037)</f>
        <v>0</v>
      </c>
      <c r="I2038" s="251"/>
      <c r="J2038" s="244"/>
      <c r="K2038" s="255"/>
      <c r="L2038" s="159">
        <f>SUM(L2035:L2037)</f>
        <v>0</v>
      </c>
      <c r="M2038" s="156">
        <f>SUM(M2035:M2037)</f>
        <v>100000</v>
      </c>
      <c r="N2038" s="244">
        <f>M2038*1.23</f>
        <v>123000</v>
      </c>
      <c r="O2038" s="157">
        <f>SUM(O2035:O2037)</f>
        <v>100000</v>
      </c>
      <c r="P2038" s="248">
        <f>O2038*1.46</f>
        <v>146000</v>
      </c>
      <c r="Q2038" s="158">
        <f>SUM(Q2035:Q2037)</f>
        <v>100000</v>
      </c>
      <c r="R2038" s="255">
        <f>Q2038*1.73</f>
        <v>173000</v>
      </c>
      <c r="S2038" s="159">
        <f t="shared" ref="S2038:S2043" si="149">SUM(L2038,N2038,P2038,R2038)</f>
        <v>442000</v>
      </c>
      <c r="T2038" s="225"/>
      <c r="U2038" s="161"/>
    </row>
    <row r="2039" spans="1:21" ht="15.75" hidden="1" outlineLevel="1">
      <c r="A2039" s="229" t="s">
        <v>839</v>
      </c>
      <c r="B2039" s="163"/>
      <c r="C2039" s="331"/>
      <c r="D2039" s="356"/>
      <c r="E2039" s="164"/>
      <c r="F2039" s="165"/>
      <c r="G2039" s="172"/>
      <c r="H2039" s="219"/>
      <c r="I2039" s="219"/>
      <c r="J2039" s="164"/>
      <c r="K2039" s="223"/>
      <c r="L2039" s="176"/>
      <c r="M2039" s="156"/>
      <c r="N2039" s="244"/>
      <c r="O2039" s="157"/>
      <c r="P2039" s="248"/>
      <c r="Q2039" s="158"/>
      <c r="R2039" s="255"/>
      <c r="S2039" s="159"/>
      <c r="T2039" s="225"/>
      <c r="U2039" s="161"/>
    </row>
    <row r="2040" spans="1:21" ht="18.75" hidden="1" outlineLevel="1">
      <c r="A2040" s="288"/>
      <c r="B2040" s="163"/>
      <c r="C2040" s="151" t="s">
        <v>840</v>
      </c>
      <c r="D2040" s="356"/>
      <c r="E2040" s="164"/>
      <c r="F2040" s="165"/>
      <c r="G2040" s="172"/>
      <c r="H2040" s="219"/>
      <c r="I2040" s="219"/>
      <c r="J2040" s="164"/>
      <c r="K2040" s="218">
        <v>344257</v>
      </c>
      <c r="L2040" s="176">
        <f>SUM(G2040:K2040)</f>
        <v>344257</v>
      </c>
      <c r="M2040" s="156"/>
      <c r="N2040" s="244"/>
      <c r="O2040" s="157"/>
      <c r="P2040" s="248"/>
      <c r="Q2040" s="158"/>
      <c r="R2040" s="255"/>
      <c r="S2040" s="159">
        <f t="shared" si="149"/>
        <v>344257</v>
      </c>
      <c r="T2040" s="225"/>
      <c r="U2040" s="161" t="s">
        <v>841</v>
      </c>
    </row>
    <row r="2041" spans="1:21" ht="18.75" hidden="1" outlineLevel="1">
      <c r="A2041" s="288"/>
      <c r="B2041" s="171"/>
      <c r="C2041" s="151" t="s">
        <v>842</v>
      </c>
      <c r="D2041" s="356"/>
      <c r="E2041" s="164"/>
      <c r="F2041" s="165"/>
      <c r="G2041" s="172"/>
      <c r="H2041" s="219"/>
      <c r="I2041" s="219"/>
      <c r="J2041" s="164"/>
      <c r="K2041" s="218">
        <v>344257</v>
      </c>
      <c r="L2041" s="176">
        <f>SUM(G2041:K2041)</f>
        <v>344257</v>
      </c>
      <c r="M2041" s="156"/>
      <c r="N2041" s="244"/>
      <c r="O2041" s="157"/>
      <c r="P2041" s="248"/>
      <c r="Q2041" s="158"/>
      <c r="R2041" s="255"/>
      <c r="S2041" s="159">
        <f t="shared" si="149"/>
        <v>344257</v>
      </c>
      <c r="T2041" s="225"/>
      <c r="U2041" s="161" t="s">
        <v>841</v>
      </c>
    </row>
    <row r="2042" spans="1:21" ht="18.75" hidden="1" outlineLevel="1">
      <c r="A2042" s="288"/>
      <c r="B2042" s="171"/>
      <c r="C2042" s="151" t="s">
        <v>843</v>
      </c>
      <c r="D2042" s="356"/>
      <c r="E2042" s="164"/>
      <c r="F2042" s="165"/>
      <c r="G2042" s="172"/>
      <c r="H2042" s="219"/>
      <c r="I2042" s="219"/>
      <c r="J2042" s="164"/>
      <c r="K2042" s="223"/>
      <c r="L2042" s="176"/>
      <c r="M2042" s="156"/>
      <c r="N2042" s="244"/>
      <c r="O2042" s="156">
        <v>600000</v>
      </c>
      <c r="P2042" s="248">
        <f>O2042*1.46</f>
        <v>876000</v>
      </c>
      <c r="Q2042" s="158"/>
      <c r="R2042" s="255"/>
      <c r="S2042" s="159">
        <f t="shared" si="149"/>
        <v>876000</v>
      </c>
      <c r="T2042" s="225"/>
      <c r="U2042" s="161" t="s">
        <v>1167</v>
      </c>
    </row>
    <row r="2043" spans="1:21" ht="16.5" customHeight="1" collapsed="1">
      <c r="A2043" s="288"/>
      <c r="B2043" s="289"/>
      <c r="C2043" s="198" t="s">
        <v>844</v>
      </c>
      <c r="D2043" s="351"/>
      <c r="E2043" s="164"/>
      <c r="F2043" s="165"/>
      <c r="G2043" s="249"/>
      <c r="H2043" s="251"/>
      <c r="I2043" s="251"/>
      <c r="J2043" s="244"/>
      <c r="K2043" s="523">
        <f>CIP!$AV$127</f>
        <v>0</v>
      </c>
      <c r="L2043" s="159">
        <f>SUM(G2043:K2043)</f>
        <v>0</v>
      </c>
      <c r="M2043" s="156"/>
      <c r="N2043" s="244"/>
      <c r="O2043" s="157">
        <f>SUM(O2040:O2042)</f>
        <v>600000</v>
      </c>
      <c r="P2043" s="248">
        <f>O2043*1.46</f>
        <v>876000</v>
      </c>
      <c r="Q2043" s="158"/>
      <c r="R2043" s="255"/>
      <c r="S2043" s="159">
        <f t="shared" si="149"/>
        <v>876000</v>
      </c>
      <c r="T2043" s="225"/>
      <c r="U2043" s="161"/>
    </row>
    <row r="2044" spans="1:21" ht="15.75" hidden="1" outlineLevel="1">
      <c r="A2044" s="229" t="s">
        <v>845</v>
      </c>
      <c r="B2044" s="163"/>
      <c r="C2044" s="331"/>
      <c r="D2044" s="356"/>
      <c r="E2044" s="164"/>
      <c r="F2044" s="165"/>
      <c r="G2044" s="172"/>
      <c r="H2044" s="164"/>
      <c r="I2044" s="164"/>
      <c r="J2044" s="164"/>
      <c r="K2044" s="223"/>
      <c r="L2044" s="176"/>
      <c r="M2044" s="156"/>
      <c r="N2044" s="244"/>
      <c r="O2044" s="157"/>
      <c r="P2044" s="248"/>
      <c r="Q2044" s="158"/>
      <c r="R2044" s="255"/>
      <c r="S2044" s="159"/>
      <c r="T2044" s="225"/>
      <c r="U2044" s="161"/>
    </row>
    <row r="2045" spans="1:21" ht="15.75" hidden="1" outlineLevel="1">
      <c r="A2045" s="229"/>
      <c r="B2045" s="151" t="s">
        <v>846</v>
      </c>
      <c r="C2045" s="331"/>
      <c r="D2045" s="356"/>
      <c r="E2045" s="164"/>
      <c r="F2045" s="165"/>
      <c r="G2045" s="172"/>
      <c r="H2045" s="164"/>
      <c r="I2045" s="164"/>
      <c r="J2045" s="164"/>
      <c r="K2045" s="223"/>
      <c r="L2045" s="176"/>
      <c r="M2045" s="156"/>
      <c r="N2045" s="244"/>
      <c r="O2045" s="157"/>
      <c r="P2045" s="248"/>
      <c r="Q2045" s="158"/>
      <c r="R2045" s="255"/>
      <c r="S2045" s="159"/>
      <c r="T2045" s="225"/>
      <c r="U2045" s="161"/>
    </row>
    <row r="2046" spans="1:21" ht="18.75" hidden="1" outlineLevel="1">
      <c r="A2046" s="288"/>
      <c r="B2046" s="171"/>
      <c r="C2046" s="331" t="s">
        <v>493</v>
      </c>
      <c r="D2046" s="357"/>
      <c r="E2046" s="164"/>
      <c r="F2046" s="165"/>
      <c r="G2046" s="172"/>
      <c r="H2046" s="164"/>
      <c r="I2046" s="164"/>
      <c r="J2046" s="164"/>
      <c r="K2046" s="223"/>
      <c r="L2046" s="176"/>
      <c r="M2046" s="156"/>
      <c r="N2046" s="244"/>
      <c r="O2046" s="157"/>
      <c r="P2046" s="248"/>
      <c r="Q2046" s="158">
        <v>150000</v>
      </c>
      <c r="R2046" s="255">
        <f>Q2046*1.73</f>
        <v>259500</v>
      </c>
      <c r="S2046" s="159">
        <f>SUM(O2046:Q2046)</f>
        <v>150000</v>
      </c>
      <c r="T2046" s="225"/>
      <c r="U2046" s="161" t="s">
        <v>847</v>
      </c>
    </row>
    <row r="2047" spans="1:21" ht="18.75" hidden="1" outlineLevel="1">
      <c r="A2047" s="288"/>
      <c r="B2047" s="171"/>
      <c r="C2047" s="198" t="s">
        <v>848</v>
      </c>
      <c r="D2047" s="352"/>
      <c r="E2047" s="164"/>
      <c r="F2047" s="165"/>
      <c r="G2047" s="172"/>
      <c r="H2047" s="164"/>
      <c r="I2047" s="164"/>
      <c r="J2047" s="164"/>
      <c r="K2047" s="223"/>
      <c r="L2047" s="176"/>
      <c r="M2047" s="156"/>
      <c r="N2047" s="244"/>
      <c r="O2047" s="157">
        <v>100000</v>
      </c>
      <c r="P2047" s="248">
        <f>O2047*1.46</f>
        <v>146000</v>
      </c>
      <c r="Q2047" s="158"/>
      <c r="R2047" s="255"/>
      <c r="S2047" s="159">
        <f>SUM(O2047:Q2047)</f>
        <v>246000</v>
      </c>
      <c r="T2047" s="225"/>
      <c r="U2047" s="161" t="s">
        <v>849</v>
      </c>
    </row>
    <row r="2048" spans="1:21" ht="16.5" customHeight="1" collapsed="1">
      <c r="A2048" s="288"/>
      <c r="B2048" s="289"/>
      <c r="C2048" s="198" t="s">
        <v>850</v>
      </c>
      <c r="D2048" s="351"/>
      <c r="E2048" s="164"/>
      <c r="F2048" s="165"/>
      <c r="G2048" s="249"/>
      <c r="H2048" s="244"/>
      <c r="I2048" s="244"/>
      <c r="J2048" s="244"/>
      <c r="K2048" s="255"/>
      <c r="L2048" s="159"/>
      <c r="M2048" s="156"/>
      <c r="N2048" s="244"/>
      <c r="O2048" s="157">
        <f>SUM(O2046:O2047)</f>
        <v>100000</v>
      </c>
      <c r="P2048" s="248">
        <f>O2048*1.46</f>
        <v>146000</v>
      </c>
      <c r="Q2048" s="158">
        <f>SUM(Q2046:Q2047)</f>
        <v>150000</v>
      </c>
      <c r="R2048" s="255">
        <f>Q2048*1.73</f>
        <v>259500</v>
      </c>
      <c r="S2048" s="159">
        <f t="shared" ref="S2048:S2050" si="150">SUM(L2048,N2048,P2048,R2048)</f>
        <v>405500</v>
      </c>
      <c r="T2048" s="225"/>
      <c r="U2048" s="161"/>
    </row>
    <row r="2049" spans="1:21" ht="16.5" customHeight="1">
      <c r="A2049" s="288"/>
      <c r="B2049" s="171"/>
      <c r="C2049" s="151" t="s">
        <v>1286</v>
      </c>
      <c r="D2049" s="355"/>
      <c r="E2049" s="164"/>
      <c r="F2049" s="165"/>
      <c r="G2049" s="172"/>
      <c r="H2049" s="164"/>
      <c r="I2049" s="164"/>
      <c r="J2049" s="164"/>
      <c r="K2049" s="223"/>
      <c r="L2049" s="176"/>
      <c r="M2049" s="156"/>
      <c r="N2049" s="244"/>
      <c r="O2049" s="157"/>
      <c r="P2049" s="248"/>
      <c r="Q2049" s="158">
        <v>15000000</v>
      </c>
      <c r="R2049" s="255">
        <f>Q2049*1.73</f>
        <v>25950000</v>
      </c>
      <c r="S2049" s="159">
        <f t="shared" si="150"/>
        <v>25950000</v>
      </c>
      <c r="T2049" s="295"/>
      <c r="U2049" s="161" t="s">
        <v>832</v>
      </c>
    </row>
    <row r="2050" spans="1:21" ht="16.5" customHeight="1">
      <c r="A2050" s="231"/>
      <c r="B2050" s="752" t="s">
        <v>851</v>
      </c>
      <c r="C2050" s="753"/>
      <c r="D2050" s="358"/>
      <c r="E2050" s="164"/>
      <c r="F2050" s="165"/>
      <c r="G2050" s="249">
        <f>SUM(G2033,G2038,G2043,G2048)</f>
        <v>1975000</v>
      </c>
      <c r="H2050" s="244">
        <f t="shared" ref="H2050:K2050" si="151">SUM(H2033,H2038,H2043,H2048)</f>
        <v>0</v>
      </c>
      <c r="I2050" s="244">
        <f t="shared" si="151"/>
        <v>0</v>
      </c>
      <c r="J2050" s="244">
        <f t="shared" si="151"/>
        <v>0</v>
      </c>
      <c r="K2050" s="255">
        <f t="shared" si="151"/>
        <v>0</v>
      </c>
      <c r="L2050" s="159">
        <f>SUM(L2033,L2038,L2043,L2048)</f>
        <v>1975000</v>
      </c>
      <c r="M2050" s="156">
        <f>SUM(M2033,M2038,M2043,M2048)</f>
        <v>20401000</v>
      </c>
      <c r="N2050" s="250">
        <f>M2050*1.23</f>
        <v>25093230</v>
      </c>
      <c r="O2050" s="157">
        <f>SUM(O2033,O2038,O2043,O2048)</f>
        <v>21101000</v>
      </c>
      <c r="P2050" s="248">
        <f>O2050*1.46</f>
        <v>30807460</v>
      </c>
      <c r="Q2050" s="158">
        <f>SUM(Q2033,Q2038,Q2043,Q2048,Q2049)</f>
        <v>35551000</v>
      </c>
      <c r="R2050" s="255">
        <f>Q2050*1.73</f>
        <v>61503230</v>
      </c>
      <c r="S2050" s="159">
        <f t="shared" si="150"/>
        <v>119378920</v>
      </c>
      <c r="T2050" s="225"/>
      <c r="U2050" s="263"/>
    </row>
    <row r="2051" spans="1:21" ht="13.5" customHeight="1">
      <c r="A2051" s="231"/>
      <c r="B2051" s="297"/>
      <c r="C2051" s="297"/>
      <c r="D2051" s="359"/>
      <c r="E2051" s="164"/>
      <c r="F2051" s="165"/>
      <c r="G2051" s="172"/>
      <c r="H2051" s="164"/>
      <c r="I2051" s="164"/>
      <c r="J2051" s="164"/>
      <c r="K2051" s="223"/>
      <c r="L2051" s="176"/>
      <c r="M2051" s="168"/>
      <c r="N2051" s="164"/>
      <c r="O2051" s="164"/>
      <c r="P2051" s="165"/>
      <c r="Q2051" s="165"/>
      <c r="R2051" s="223"/>
      <c r="S2051" s="159"/>
      <c r="T2051" s="225"/>
      <c r="U2051" s="170"/>
    </row>
    <row r="2052" spans="1:21" ht="15.75" customHeight="1">
      <c r="A2052" s="292" t="s">
        <v>852</v>
      </c>
      <c r="B2052" s="298"/>
      <c r="C2052" s="293"/>
      <c r="D2052" s="349"/>
      <c r="E2052" s="266"/>
      <c r="F2052" s="267"/>
      <c r="G2052" s="268"/>
      <c r="H2052" s="266"/>
      <c r="I2052" s="266"/>
      <c r="J2052" s="266"/>
      <c r="K2052" s="267"/>
      <c r="L2052" s="269"/>
      <c r="M2052" s="270"/>
      <c r="N2052" s="270"/>
      <c r="O2052" s="265"/>
      <c r="P2052" s="271"/>
      <c r="Q2052" s="271"/>
      <c r="R2052" s="516"/>
      <c r="S2052" s="272"/>
      <c r="T2052" s="294"/>
      <c r="U2052" s="274"/>
    </row>
    <row r="2053" spans="1:21" ht="15.75" hidden="1" outlineLevel="1">
      <c r="A2053" s="229" t="s">
        <v>853</v>
      </c>
      <c r="B2053" s="163"/>
      <c r="C2053" s="152"/>
      <c r="D2053" s="154"/>
      <c r="E2053" s="164"/>
      <c r="F2053" s="165"/>
      <c r="G2053" s="172"/>
      <c r="H2053" s="164"/>
      <c r="I2053" s="164"/>
      <c r="J2053" s="164"/>
      <c r="K2053" s="165"/>
      <c r="L2053" s="176"/>
      <c r="M2053" s="168" t="s">
        <v>514</v>
      </c>
      <c r="N2053" s="168"/>
      <c r="O2053" s="164" t="s">
        <v>514</v>
      </c>
      <c r="P2053" s="165"/>
      <c r="Q2053" s="165"/>
      <c r="R2053" s="223"/>
      <c r="S2053" s="159"/>
      <c r="T2053" s="225"/>
      <c r="U2053" s="161"/>
    </row>
    <row r="2054" spans="1:21" hidden="1" outlineLevel="1">
      <c r="A2054" s="300"/>
      <c r="B2054" s="230"/>
      <c r="C2054" s="534" t="s">
        <v>854</v>
      </c>
      <c r="E2054" s="164"/>
      <c r="F2054" s="165"/>
      <c r="G2054" s="172">
        <f>CIP!$AR$9</f>
        <v>3138155</v>
      </c>
      <c r="H2054" s="164"/>
      <c r="I2054" s="164"/>
      <c r="J2054" s="164"/>
      <c r="K2054" s="165"/>
      <c r="L2054" s="176"/>
      <c r="M2054" s="168"/>
      <c r="N2054" s="168"/>
      <c r="O2054" s="164"/>
      <c r="P2054" s="165"/>
      <c r="Q2054" s="165"/>
      <c r="R2054" s="223"/>
      <c r="S2054" s="159"/>
      <c r="T2054" s="225"/>
      <c r="U2054" s="161" t="s">
        <v>855</v>
      </c>
    </row>
    <row r="2055" spans="1:21" hidden="1" outlineLevel="1">
      <c r="A2055" s="300"/>
      <c r="B2055" s="230"/>
      <c r="C2055" s="534" t="s">
        <v>856</v>
      </c>
      <c r="E2055" s="164"/>
      <c r="F2055" s="165"/>
      <c r="G2055" s="172">
        <f>CIP!$AR$36</f>
        <v>0</v>
      </c>
      <c r="H2055" s="164">
        <f>CIP!$AS$36</f>
        <v>0</v>
      </c>
      <c r="I2055" s="164"/>
      <c r="J2055" s="164"/>
      <c r="K2055" s="165"/>
      <c r="L2055" s="176"/>
      <c r="M2055" s="168"/>
      <c r="N2055" s="168"/>
      <c r="O2055" s="164"/>
      <c r="P2055" s="165"/>
      <c r="Q2055" s="165"/>
      <c r="R2055" s="223"/>
      <c r="S2055" s="159"/>
      <c r="T2055" s="225"/>
      <c r="U2055" s="161"/>
    </row>
    <row r="2056" spans="1:21" hidden="1" outlineLevel="1">
      <c r="A2056" s="300"/>
      <c r="B2056" s="230"/>
      <c r="C2056" s="534" t="s">
        <v>857</v>
      </c>
      <c r="E2056" s="164"/>
      <c r="F2056" s="165"/>
      <c r="G2056" s="172"/>
      <c r="H2056" s="164">
        <f>CIP!$AS$48</f>
        <v>0</v>
      </c>
      <c r="I2056" s="164">
        <f>CIP!$AT$48</f>
        <v>0</v>
      </c>
      <c r="J2056" s="164"/>
      <c r="K2056" s="165"/>
      <c r="L2056" s="176"/>
      <c r="M2056" s="168"/>
      <c r="N2056" s="168"/>
      <c r="O2056" s="164"/>
      <c r="P2056" s="165"/>
      <c r="Q2056" s="165"/>
      <c r="R2056" s="223"/>
      <c r="S2056" s="159"/>
      <c r="T2056" s="225"/>
      <c r="U2056" s="161"/>
    </row>
    <row r="2057" spans="1:21" hidden="1" outlineLevel="1">
      <c r="A2057" s="300"/>
      <c r="B2057" s="230"/>
      <c r="C2057" s="534" t="s">
        <v>858</v>
      </c>
      <c r="E2057" s="164"/>
      <c r="F2057" s="165"/>
      <c r="G2057" s="172"/>
      <c r="H2057" s="164"/>
      <c r="I2057" s="164">
        <f>CIP!$AT$72</f>
        <v>0</v>
      </c>
      <c r="J2057" s="164">
        <f>CIP!$AU$72</f>
        <v>0</v>
      </c>
      <c r="K2057" s="165"/>
      <c r="L2057" s="176"/>
      <c r="M2057" s="168"/>
      <c r="N2057" s="168"/>
      <c r="O2057" s="164"/>
      <c r="P2057" s="165"/>
      <c r="Q2057" s="165"/>
      <c r="R2057" s="223"/>
      <c r="S2057" s="159"/>
      <c r="T2057" s="225"/>
      <c r="U2057" s="161"/>
    </row>
    <row r="2058" spans="1:21" hidden="1" outlineLevel="1">
      <c r="A2058" s="300"/>
      <c r="B2058" s="230"/>
      <c r="C2058" s="534" t="s">
        <v>859</v>
      </c>
      <c r="E2058" s="164"/>
      <c r="F2058" s="165"/>
      <c r="G2058" s="172"/>
      <c r="H2058" s="164"/>
      <c r="I2058" s="164"/>
      <c r="J2058" s="164">
        <f>CIP!$AU$101</f>
        <v>0</v>
      </c>
      <c r="K2058" s="165">
        <f>CIP!$AV$101</f>
        <v>0</v>
      </c>
      <c r="L2058" s="176"/>
      <c r="M2058" s="168"/>
      <c r="N2058" s="168"/>
      <c r="O2058" s="164"/>
      <c r="P2058" s="165"/>
      <c r="Q2058" s="165"/>
      <c r="R2058" s="223"/>
      <c r="S2058" s="159"/>
      <c r="T2058" s="225"/>
      <c r="U2058" s="161"/>
    </row>
    <row r="2059" spans="1:21" ht="16.5" customHeight="1" collapsed="1">
      <c r="A2059" s="229"/>
      <c r="B2059" s="163"/>
      <c r="C2059" s="198" t="s">
        <v>860</v>
      </c>
      <c r="D2059" s="351"/>
      <c r="E2059" s="164"/>
      <c r="F2059" s="165"/>
      <c r="G2059" s="249">
        <f>SUM(G2054:G2058)</f>
        <v>3138155</v>
      </c>
      <c r="H2059" s="244">
        <f>SUM(H2054:H2058)</f>
        <v>0</v>
      </c>
      <c r="I2059" s="244">
        <f>SUM(I2054:I2058)</f>
        <v>0</v>
      </c>
      <c r="J2059" s="244">
        <f>SUM(J2054:J2058)</f>
        <v>0</v>
      </c>
      <c r="K2059" s="255">
        <f>SUM(K2055:K2058)</f>
        <v>0</v>
      </c>
      <c r="L2059" s="159">
        <f t="shared" ref="L2059" si="152">SUM(G2059:K2059)</f>
        <v>3138155</v>
      </c>
      <c r="M2059" s="156">
        <v>19204426</v>
      </c>
      <c r="N2059" s="250">
        <f>M2059*1.23</f>
        <v>23621443.98</v>
      </c>
      <c r="O2059" s="157">
        <v>10700000</v>
      </c>
      <c r="P2059" s="248">
        <f>O2059*1.46</f>
        <v>15622000</v>
      </c>
      <c r="Q2059" s="165">
        <v>14500000</v>
      </c>
      <c r="R2059" s="255">
        <f>Q2059*1.73</f>
        <v>25085000</v>
      </c>
      <c r="S2059" s="159">
        <f t="shared" ref="S2059:S2072" si="153">SUM(L2059,N2059,P2059,R2059)</f>
        <v>67466598.980000004</v>
      </c>
      <c r="T2059" s="225"/>
      <c r="U2059" s="161" t="s">
        <v>855</v>
      </c>
    </row>
    <row r="2060" spans="1:21" ht="15.75" hidden="1" outlineLevel="1">
      <c r="A2060" s="229" t="s">
        <v>834</v>
      </c>
      <c r="B2060" s="163"/>
      <c r="C2060" s="289"/>
      <c r="D2060" s="154"/>
      <c r="E2060" s="164"/>
      <c r="F2060" s="165"/>
      <c r="G2060" s="172"/>
      <c r="H2060" s="164"/>
      <c r="I2060" s="164"/>
      <c r="J2060" s="164"/>
      <c r="K2060" s="223"/>
      <c r="L2060" s="176"/>
      <c r="M2060" s="156"/>
      <c r="N2060" s="250"/>
      <c r="O2060" s="157"/>
      <c r="P2060" s="248"/>
      <c r="Q2060" s="165"/>
      <c r="R2060" s="255"/>
      <c r="S2060" s="159"/>
      <c r="T2060" s="225"/>
      <c r="U2060" s="161"/>
    </row>
    <row r="2061" spans="1:21" ht="15.75" hidden="1" outlineLevel="1">
      <c r="A2061" s="229"/>
      <c r="B2061" s="163"/>
      <c r="C2061" s="151" t="s">
        <v>861</v>
      </c>
      <c r="D2061" s="154"/>
      <c r="E2061" s="164"/>
      <c r="F2061" s="165"/>
      <c r="G2061" s="172">
        <f>CIP!$AR$53</f>
        <v>0</v>
      </c>
      <c r="H2061" s="164"/>
      <c r="I2061" s="164"/>
      <c r="J2061" s="164">
        <f>CIP!$AU$53</f>
        <v>0</v>
      </c>
      <c r="K2061" s="223">
        <f>CIP!$AV$53</f>
        <v>688513.80037499976</v>
      </c>
      <c r="L2061" s="176">
        <f>SUM(G2061:K2061)</f>
        <v>688513.80037499976</v>
      </c>
      <c r="M2061" s="156">
        <v>250000</v>
      </c>
      <c r="N2061" s="250">
        <f>M2061*1.23</f>
        <v>307500</v>
      </c>
      <c r="O2061" s="157">
        <v>250000</v>
      </c>
      <c r="P2061" s="248">
        <f>O2061*1.46</f>
        <v>365000</v>
      </c>
      <c r="Q2061" s="165">
        <v>250000</v>
      </c>
      <c r="R2061" s="255">
        <f>Q2061*1.73</f>
        <v>432500</v>
      </c>
      <c r="S2061" s="159">
        <f t="shared" si="153"/>
        <v>1793513.8003749996</v>
      </c>
      <c r="T2061" s="242"/>
      <c r="U2061" s="161" t="s">
        <v>862</v>
      </c>
    </row>
    <row r="2062" spans="1:21" ht="15.75" hidden="1" outlineLevel="1">
      <c r="A2062" s="229"/>
      <c r="B2062" s="163"/>
      <c r="C2062" s="151" t="s">
        <v>1065</v>
      </c>
      <c r="D2062" s="154"/>
      <c r="E2062" s="164"/>
      <c r="F2062" s="165"/>
      <c r="G2062" s="172">
        <f>CIP!$AR$31</f>
        <v>0</v>
      </c>
      <c r="H2062" s="164"/>
      <c r="I2062" s="164"/>
      <c r="J2062" s="164"/>
      <c r="K2062" s="223"/>
      <c r="L2062" s="176">
        <v>100000</v>
      </c>
      <c r="M2062" s="156">
        <v>100000</v>
      </c>
      <c r="N2062" s="250">
        <f t="shared" ref="N2062:N2063" si="154">M2062*1.23</f>
        <v>123000</v>
      </c>
      <c r="O2062" s="157"/>
      <c r="P2062" s="248"/>
      <c r="Q2062" s="165">
        <v>100000</v>
      </c>
      <c r="R2062" s="255">
        <f>Q2062*1.73</f>
        <v>173000</v>
      </c>
      <c r="S2062" s="159">
        <f t="shared" si="153"/>
        <v>396000</v>
      </c>
      <c r="T2062" s="225"/>
      <c r="U2062" s="161"/>
    </row>
    <row r="2063" spans="1:21" ht="15.75" hidden="1" outlineLevel="1">
      <c r="A2063" s="229"/>
      <c r="B2063" s="163"/>
      <c r="C2063" s="151" t="s">
        <v>863</v>
      </c>
      <c r="D2063" s="154"/>
      <c r="E2063" s="164"/>
      <c r="F2063" s="165"/>
      <c r="G2063" s="172"/>
      <c r="H2063" s="164"/>
      <c r="I2063" s="164"/>
      <c r="J2063" s="164"/>
      <c r="K2063" s="223"/>
      <c r="L2063" s="176"/>
      <c r="M2063" s="156">
        <v>100000</v>
      </c>
      <c r="N2063" s="250">
        <f t="shared" si="154"/>
        <v>123000</v>
      </c>
      <c r="O2063" s="157"/>
      <c r="P2063" s="248"/>
      <c r="Q2063" s="165"/>
      <c r="R2063" s="255"/>
      <c r="S2063" s="159">
        <f t="shared" si="153"/>
        <v>123000</v>
      </c>
      <c r="T2063" s="225"/>
      <c r="U2063" s="161"/>
    </row>
    <row r="2064" spans="1:21" ht="15.75" hidden="1" outlineLevel="1">
      <c r="A2064" s="229"/>
      <c r="B2064" s="163"/>
      <c r="C2064" s="151" t="s">
        <v>864</v>
      </c>
      <c r="D2064" s="154"/>
      <c r="E2064" s="164"/>
      <c r="F2064" s="165"/>
      <c r="G2064" s="172">
        <f>CIP!$AR$22</f>
        <v>110000</v>
      </c>
      <c r="H2064" s="164"/>
      <c r="I2064" s="164"/>
      <c r="J2064" s="164"/>
      <c r="K2064" s="223"/>
      <c r="L2064" s="176">
        <f>SUM(G2064:K2064)</f>
        <v>110000</v>
      </c>
      <c r="M2064" s="156"/>
      <c r="N2064" s="250"/>
      <c r="O2064" s="157">
        <v>100000</v>
      </c>
      <c r="P2064" s="248">
        <f>O2064*1.46</f>
        <v>146000</v>
      </c>
      <c r="Q2064" s="165"/>
      <c r="R2064" s="255"/>
      <c r="S2064" s="159">
        <f t="shared" si="153"/>
        <v>256000</v>
      </c>
      <c r="T2064" s="225"/>
      <c r="U2064" s="161"/>
    </row>
    <row r="2065" spans="1:21" ht="15.75" hidden="1" outlineLevel="1">
      <c r="A2065" s="229"/>
      <c r="B2065" s="163"/>
      <c r="C2065" s="151" t="s">
        <v>865</v>
      </c>
      <c r="D2065" s="154"/>
      <c r="E2065" s="164"/>
      <c r="F2065" s="165"/>
      <c r="G2065" s="172"/>
      <c r="H2065" s="164"/>
      <c r="I2065" s="164">
        <f>CIP!$AT$79</f>
        <v>0</v>
      </c>
      <c r="J2065" s="164"/>
      <c r="K2065" s="223"/>
      <c r="L2065" s="176">
        <f>SUM(G2065:K2065)</f>
        <v>0</v>
      </c>
      <c r="M2065" s="156"/>
      <c r="N2065" s="250"/>
      <c r="O2065" s="157"/>
      <c r="P2065" s="248"/>
      <c r="Q2065" s="165">
        <v>100000</v>
      </c>
      <c r="R2065" s="255">
        <f>Q2065*1.73</f>
        <v>173000</v>
      </c>
      <c r="S2065" s="159">
        <f t="shared" si="153"/>
        <v>173000</v>
      </c>
      <c r="T2065" s="225"/>
      <c r="U2065" s="161"/>
    </row>
    <row r="2066" spans="1:21" ht="15.75" hidden="1" outlineLevel="1">
      <c r="A2066" s="229"/>
      <c r="B2066" s="163"/>
      <c r="C2066" s="151" t="s">
        <v>866</v>
      </c>
      <c r="D2066" s="154"/>
      <c r="E2066" s="164"/>
      <c r="F2066" s="165"/>
      <c r="G2066" s="172"/>
      <c r="H2066" s="164"/>
      <c r="I2066" s="164"/>
      <c r="J2066" s="164"/>
      <c r="K2066" s="223"/>
      <c r="L2066" s="176"/>
      <c r="M2066" s="156">
        <v>100000</v>
      </c>
      <c r="N2066" s="250">
        <f>M2066*1.23</f>
        <v>123000</v>
      </c>
      <c r="O2066" s="157"/>
      <c r="P2066" s="248"/>
      <c r="Q2066" s="165"/>
      <c r="R2066" s="255"/>
      <c r="S2066" s="159">
        <f t="shared" si="153"/>
        <v>123000</v>
      </c>
      <c r="T2066" s="225"/>
      <c r="U2066" s="161"/>
    </row>
    <row r="2067" spans="1:21" ht="15.75" hidden="1" outlineLevel="1">
      <c r="A2067" s="229"/>
      <c r="B2067" s="163"/>
      <c r="C2067" s="151" t="s">
        <v>867</v>
      </c>
      <c r="D2067" s="154"/>
      <c r="E2067" s="164"/>
      <c r="F2067" s="165"/>
      <c r="G2067" s="172"/>
      <c r="H2067" s="164"/>
      <c r="I2067" s="164"/>
      <c r="J2067" s="164"/>
      <c r="K2067" s="223"/>
      <c r="L2067" s="176"/>
      <c r="M2067" s="156"/>
      <c r="N2067" s="250"/>
      <c r="O2067" s="157">
        <v>100000</v>
      </c>
      <c r="P2067" s="248">
        <f>O2067*1.46</f>
        <v>146000</v>
      </c>
      <c r="Q2067" s="165"/>
      <c r="R2067" s="255"/>
      <c r="S2067" s="159">
        <f t="shared" si="153"/>
        <v>146000</v>
      </c>
      <c r="T2067" s="225"/>
      <c r="U2067" s="161"/>
    </row>
    <row r="2068" spans="1:21" ht="15.75" hidden="1" outlineLevel="1">
      <c r="A2068" s="229"/>
      <c r="B2068" s="163"/>
      <c r="C2068" s="151" t="s">
        <v>868</v>
      </c>
      <c r="D2068" s="154"/>
      <c r="E2068" s="164"/>
      <c r="F2068" s="165"/>
      <c r="G2068" s="172"/>
      <c r="H2068" s="164"/>
      <c r="I2068" s="164"/>
      <c r="J2068" s="164"/>
      <c r="K2068" s="223"/>
      <c r="L2068" s="176"/>
      <c r="M2068" s="156"/>
      <c r="N2068" s="250"/>
      <c r="O2068" s="157"/>
      <c r="P2068" s="248"/>
      <c r="Q2068" s="165">
        <v>100000</v>
      </c>
      <c r="R2068" s="255">
        <f>Q2068*1.73</f>
        <v>173000</v>
      </c>
      <c r="S2068" s="159">
        <f t="shared" si="153"/>
        <v>173000</v>
      </c>
      <c r="T2068" s="225"/>
      <c r="U2068" s="161"/>
    </row>
    <row r="2069" spans="1:21" ht="15.75" hidden="1" outlineLevel="1">
      <c r="A2069" s="229"/>
      <c r="B2069" s="163"/>
      <c r="C2069" s="151" t="s">
        <v>869</v>
      </c>
      <c r="D2069" s="154"/>
      <c r="E2069" s="164"/>
      <c r="F2069" s="165"/>
      <c r="G2069" s="172"/>
      <c r="H2069" s="164"/>
      <c r="I2069" s="164"/>
      <c r="J2069" s="164"/>
      <c r="K2069" s="223">
        <f>CIP!$AV$121</f>
        <v>0</v>
      </c>
      <c r="L2069" s="176">
        <f>SUM(G2069:K2069)</f>
        <v>0</v>
      </c>
      <c r="M2069" s="156"/>
      <c r="N2069" s="250"/>
      <c r="O2069" s="157"/>
      <c r="P2069" s="248"/>
      <c r="Q2069" s="165"/>
      <c r="R2069" s="255"/>
      <c r="S2069" s="159">
        <f t="shared" si="153"/>
        <v>0</v>
      </c>
      <c r="T2069" s="225"/>
      <c r="U2069" s="161"/>
    </row>
    <row r="2070" spans="1:21" ht="15.75" hidden="1" outlineLevel="1">
      <c r="A2070" s="229"/>
      <c r="B2070" s="163"/>
      <c r="C2070" s="151" t="s">
        <v>870</v>
      </c>
      <c r="D2070" s="154"/>
      <c r="E2070" s="164"/>
      <c r="F2070" s="165"/>
      <c r="G2070" s="172"/>
      <c r="H2070" s="164"/>
      <c r="I2070" s="164"/>
      <c r="J2070" s="164"/>
      <c r="K2070" s="223"/>
      <c r="L2070" s="176"/>
      <c r="M2070" s="156">
        <v>100000</v>
      </c>
      <c r="N2070" s="250">
        <f t="shared" ref="N2070:N2071" si="155">M2070*1.23</f>
        <v>123000</v>
      </c>
      <c r="O2070" s="157"/>
      <c r="P2070" s="248"/>
      <c r="Q2070" s="165"/>
      <c r="R2070" s="255"/>
      <c r="S2070" s="159">
        <f t="shared" si="153"/>
        <v>123000</v>
      </c>
      <c r="T2070" s="225"/>
      <c r="U2070" s="161"/>
    </row>
    <row r="2071" spans="1:21" ht="16.5" customHeight="1" collapsed="1">
      <c r="A2071" s="229"/>
      <c r="B2071" s="163"/>
      <c r="C2071" s="151" t="s">
        <v>838</v>
      </c>
      <c r="D2071" s="360"/>
      <c r="E2071" s="164"/>
      <c r="F2071" s="165"/>
      <c r="G2071" s="249">
        <f>SUM(G2061:G2070)</f>
        <v>110000</v>
      </c>
      <c r="H2071" s="244"/>
      <c r="I2071" s="244">
        <f t="shared" ref="I2071:Q2071" si="156">SUM(I2061:I2070)</f>
        <v>0</v>
      </c>
      <c r="J2071" s="244">
        <f t="shared" si="156"/>
        <v>0</v>
      </c>
      <c r="K2071" s="255">
        <f t="shared" si="156"/>
        <v>688513.80037499976</v>
      </c>
      <c r="L2071" s="159">
        <f t="shared" si="156"/>
        <v>898513.80037499976</v>
      </c>
      <c r="M2071" s="156">
        <f t="shared" si="156"/>
        <v>650000</v>
      </c>
      <c r="N2071" s="250">
        <f t="shared" si="155"/>
        <v>799500</v>
      </c>
      <c r="O2071" s="157">
        <f t="shared" si="156"/>
        <v>450000</v>
      </c>
      <c r="P2071" s="248">
        <f>O2071*1.46</f>
        <v>657000</v>
      </c>
      <c r="Q2071" s="158">
        <f t="shared" si="156"/>
        <v>550000</v>
      </c>
      <c r="R2071" s="255">
        <f>Q2071*1.73</f>
        <v>951500</v>
      </c>
      <c r="S2071" s="159">
        <f t="shared" si="153"/>
        <v>3306513.8003749996</v>
      </c>
      <c r="T2071" s="225"/>
      <c r="U2071" s="161"/>
    </row>
    <row r="2072" spans="1:21" ht="16.5" customHeight="1">
      <c r="A2072" s="231"/>
      <c r="B2072" s="749" t="s">
        <v>871</v>
      </c>
      <c r="C2072" s="750"/>
      <c r="D2072" s="348"/>
      <c r="E2072" s="164"/>
      <c r="F2072" s="165"/>
      <c r="G2072" s="249">
        <f>SUM(G2059,G2071)</f>
        <v>3248155</v>
      </c>
      <c r="H2072" s="244">
        <f t="shared" ref="H2072:K2072" si="157">SUM(H2059,H2071)</f>
        <v>0</v>
      </c>
      <c r="I2072" s="244">
        <f t="shared" si="157"/>
        <v>0</v>
      </c>
      <c r="J2072" s="244">
        <f t="shared" si="157"/>
        <v>0</v>
      </c>
      <c r="K2072" s="255">
        <f t="shared" si="157"/>
        <v>688513.80037499976</v>
      </c>
      <c r="L2072" s="159">
        <f>SUM(L2071,L2059)</f>
        <v>4036668.8003749996</v>
      </c>
      <c r="M2072" s="156">
        <f>SUM(M2059,M2071)</f>
        <v>19854426</v>
      </c>
      <c r="N2072" s="250">
        <f>M2072*1.23</f>
        <v>24420943.98</v>
      </c>
      <c r="O2072" s="156">
        <f>SUM(O2059,O2071)</f>
        <v>11150000</v>
      </c>
      <c r="P2072" s="248">
        <f>O2072*1.46</f>
        <v>16279000</v>
      </c>
      <c r="Q2072" s="156">
        <f>SUM(Q2059,Q2071)</f>
        <v>15050000</v>
      </c>
      <c r="R2072" s="255">
        <f>Q2072*1.73</f>
        <v>26036500</v>
      </c>
      <c r="S2072" s="159">
        <f t="shared" si="153"/>
        <v>70773112.780375004</v>
      </c>
      <c r="T2072" s="225"/>
      <c r="U2072" s="161"/>
    </row>
    <row r="2073" spans="1:21" ht="12.75" customHeight="1">
      <c r="A2073" s="231"/>
      <c r="B2073" s="417"/>
      <c r="C2073" s="417"/>
      <c r="D2073" s="348"/>
      <c r="E2073" s="164"/>
      <c r="F2073" s="165"/>
      <c r="G2073" s="249"/>
      <c r="H2073" s="244"/>
      <c r="I2073" s="244"/>
      <c r="J2073" s="244"/>
      <c r="K2073" s="255"/>
      <c r="L2073" s="159"/>
      <c r="M2073" s="156"/>
      <c r="N2073" s="250"/>
      <c r="O2073" s="157"/>
      <c r="P2073" s="248"/>
      <c r="Q2073" s="248"/>
      <c r="R2073" s="255"/>
      <c r="S2073" s="159"/>
      <c r="T2073" s="225"/>
      <c r="U2073" s="161"/>
    </row>
    <row r="2074" spans="1:21" ht="15.75">
      <c r="A2074" s="292" t="s">
        <v>1485</v>
      </c>
      <c r="B2074" s="293"/>
      <c r="C2074" s="293"/>
      <c r="D2074" s="349"/>
      <c r="E2074" s="266"/>
      <c r="F2074" s="267"/>
      <c r="G2074" s="268"/>
      <c r="H2074" s="266"/>
      <c r="I2074" s="266"/>
      <c r="J2074" s="266"/>
      <c r="K2074" s="267"/>
      <c r="L2074" s="269"/>
      <c r="M2074" s="270"/>
      <c r="N2074" s="270"/>
      <c r="O2074" s="265"/>
      <c r="P2074" s="271"/>
      <c r="Q2074" s="271"/>
      <c r="R2074" s="516"/>
      <c r="S2074" s="272"/>
      <c r="T2074" s="294"/>
      <c r="U2074" s="274"/>
    </row>
    <row r="2075" spans="1:21" ht="15.75" hidden="1" outlineLevel="1">
      <c r="A2075" s="287" t="s">
        <v>872</v>
      </c>
      <c r="C2075" s="150"/>
      <c r="D2075" s="154"/>
      <c r="E2075" s="164"/>
      <c r="F2075" s="165"/>
      <c r="G2075" s="172"/>
      <c r="H2075" s="164"/>
      <c r="I2075" s="164"/>
      <c r="J2075" s="164"/>
      <c r="K2075" s="165"/>
      <c r="L2075" s="176"/>
      <c r="M2075" s="168"/>
      <c r="N2075" s="168"/>
      <c r="O2075" s="164"/>
      <c r="P2075" s="165"/>
      <c r="Q2075" s="165"/>
      <c r="R2075" s="223"/>
      <c r="S2075" s="159"/>
      <c r="T2075" s="225"/>
      <c r="U2075" s="161"/>
    </row>
    <row r="2076" spans="1:21" ht="18.75" hidden="1" outlineLevel="1">
      <c r="A2076" s="288"/>
      <c r="B2076" s="299"/>
      <c r="C2076" s="534" t="s">
        <v>441</v>
      </c>
      <c r="D2076" s="166"/>
      <c r="E2076" s="164"/>
      <c r="F2076" s="165"/>
      <c r="G2076" s="172"/>
      <c r="H2076" s="164"/>
      <c r="I2076" s="165"/>
      <c r="J2076" s="164">
        <f>CIP!$AU$46</f>
        <v>180721.01362499996</v>
      </c>
      <c r="K2076" s="165"/>
      <c r="L2076" s="176">
        <f>SUM(G2076:K2076)</f>
        <v>180721.01362499996</v>
      </c>
      <c r="M2076" s="168"/>
      <c r="N2076" s="168"/>
      <c r="O2076" s="164"/>
      <c r="P2076" s="165"/>
      <c r="Q2076" s="165"/>
      <c r="R2076" s="223"/>
      <c r="S2076" s="159">
        <f t="shared" ref="S2076:S2091" si="158">SUM(L2076,N2076,P2076,R2076)</f>
        <v>180721.01362499996</v>
      </c>
      <c r="T2076" s="225"/>
      <c r="U2076" s="161"/>
    </row>
    <row r="2077" spans="1:21" ht="18.75" hidden="1" outlineLevel="1">
      <c r="A2077" s="288"/>
      <c r="B2077" s="299"/>
      <c r="C2077" s="534" t="s">
        <v>873</v>
      </c>
      <c r="D2077" s="166"/>
      <c r="E2077" s="164"/>
      <c r="F2077" s="165"/>
      <c r="G2077" s="212"/>
      <c r="H2077" s="164">
        <f>CIP!$AS$63</f>
        <v>0</v>
      </c>
      <c r="I2077" s="165"/>
      <c r="J2077" s="164"/>
      <c r="K2077" s="164">
        <f>CIP!$AV$139</f>
        <v>0</v>
      </c>
      <c r="L2077" s="176">
        <f>SUM(G2077:K2077)</f>
        <v>0</v>
      </c>
      <c r="M2077" s="168">
        <v>360000</v>
      </c>
      <c r="N2077" s="250">
        <f>M2077*1.23</f>
        <v>442800</v>
      </c>
      <c r="O2077" s="164">
        <v>390000</v>
      </c>
      <c r="P2077" s="248">
        <f>O2077*1.46</f>
        <v>569400</v>
      </c>
      <c r="Q2077" s="165">
        <v>430000</v>
      </c>
      <c r="R2077" s="255">
        <f>Q2077*1.73</f>
        <v>743900</v>
      </c>
      <c r="S2077" s="159">
        <f t="shared" si="158"/>
        <v>1756100</v>
      </c>
      <c r="T2077" s="225"/>
      <c r="U2077" s="161" t="s">
        <v>1162</v>
      </c>
    </row>
    <row r="2078" spans="1:21" ht="16.5" customHeight="1" collapsed="1">
      <c r="A2078" s="288"/>
      <c r="B2078" s="152"/>
      <c r="C2078" s="151" t="s">
        <v>874</v>
      </c>
      <c r="D2078" s="360"/>
      <c r="E2078" s="164"/>
      <c r="F2078" s="165"/>
      <c r="G2078" s="249"/>
      <c r="H2078" s="244">
        <f>SUM(H2076:H2077)</f>
        <v>0</v>
      </c>
      <c r="I2078" s="244"/>
      <c r="J2078" s="244">
        <f>SUM(J2076:J2077)</f>
        <v>180721.01362499996</v>
      </c>
      <c r="K2078" s="255">
        <f>SUM(K2076:K2077)</f>
        <v>0</v>
      </c>
      <c r="L2078" s="159">
        <f>SUM(G2078:K2078)</f>
        <v>180721.01362499996</v>
      </c>
      <c r="M2078" s="156">
        <f>SUM(M2075:M2077)</f>
        <v>360000</v>
      </c>
      <c r="N2078" s="250">
        <f>M2078*1.23</f>
        <v>442800</v>
      </c>
      <c r="O2078" s="157">
        <f>SUM(O2075:O2077)</f>
        <v>390000</v>
      </c>
      <c r="P2078" s="248">
        <f>O2078*1.46</f>
        <v>569400</v>
      </c>
      <c r="Q2078" s="158">
        <f>SUM(Q2075:Q2077)</f>
        <v>430000</v>
      </c>
      <c r="R2078" s="255">
        <f>Q2078*1.73</f>
        <v>743900</v>
      </c>
      <c r="S2078" s="159">
        <f t="shared" si="158"/>
        <v>1936821.0136249999</v>
      </c>
      <c r="T2078" s="225"/>
      <c r="U2078" s="161"/>
    </row>
    <row r="2079" spans="1:21" ht="15.75" hidden="1" outlineLevel="1">
      <c r="A2079" s="229" t="s">
        <v>834</v>
      </c>
      <c r="B2079" s="163"/>
      <c r="C2079" s="289"/>
      <c r="D2079" s="154"/>
      <c r="E2079" s="164"/>
      <c r="F2079" s="165"/>
      <c r="G2079" s="172"/>
      <c r="H2079" s="164"/>
      <c r="I2079" s="164"/>
      <c r="J2079" s="164"/>
      <c r="K2079" s="223"/>
      <c r="L2079" s="176"/>
      <c r="M2079" s="156"/>
      <c r="N2079" s="250"/>
      <c r="O2079" s="157"/>
      <c r="P2079" s="248"/>
      <c r="Q2079" s="158"/>
      <c r="R2079" s="255"/>
      <c r="S2079" s="159"/>
      <c r="T2079" s="225"/>
      <c r="U2079" s="161"/>
    </row>
    <row r="2080" spans="1:21" ht="15.75" hidden="1" outlineLevel="1">
      <c r="A2080" s="229"/>
      <c r="B2080" s="163"/>
      <c r="C2080" s="151" t="s">
        <v>1320</v>
      </c>
      <c r="D2080" s="154"/>
      <c r="E2080" s="164"/>
      <c r="F2080" s="165"/>
      <c r="G2080" s="172"/>
      <c r="H2080" s="164"/>
      <c r="I2080" s="164">
        <f>CIP!$AT$92</f>
        <v>0</v>
      </c>
      <c r="J2080" s="164"/>
      <c r="K2080" s="223"/>
      <c r="L2080" s="176">
        <f>SUM(G2080:K2080)</f>
        <v>0</v>
      </c>
      <c r="M2080" s="156"/>
      <c r="N2080" s="250"/>
      <c r="O2080" s="157"/>
      <c r="P2080" s="248"/>
      <c r="Q2080" s="158"/>
      <c r="R2080" s="255"/>
      <c r="S2080" s="159">
        <f t="shared" si="158"/>
        <v>0</v>
      </c>
      <c r="T2080" s="225"/>
      <c r="U2080" s="161" t="s">
        <v>1161</v>
      </c>
    </row>
    <row r="2081" spans="1:24" ht="15.75" hidden="1" outlineLevel="1">
      <c r="A2081" s="229"/>
      <c r="B2081" s="163"/>
      <c r="C2081" s="151" t="s">
        <v>875</v>
      </c>
      <c r="D2081" s="154"/>
      <c r="E2081" s="164"/>
      <c r="F2081" s="165"/>
      <c r="G2081" s="172"/>
      <c r="H2081" s="164"/>
      <c r="I2081" s="164"/>
      <c r="J2081" s="164"/>
      <c r="K2081" s="223"/>
      <c r="L2081" s="176"/>
      <c r="M2081" s="156"/>
      <c r="N2081" s="250"/>
      <c r="O2081" s="157">
        <v>150000</v>
      </c>
      <c r="P2081" s="248">
        <f t="shared" ref="P2081:P2091" si="159">O2081*1.46</f>
        <v>219000</v>
      </c>
      <c r="Q2081" s="158"/>
      <c r="R2081" s="255"/>
      <c r="S2081" s="159">
        <f t="shared" si="158"/>
        <v>219000</v>
      </c>
      <c r="T2081" s="225"/>
      <c r="U2081" s="161" t="s">
        <v>876</v>
      </c>
    </row>
    <row r="2082" spans="1:24" ht="16.5" customHeight="1" collapsed="1">
      <c r="A2082" s="229"/>
      <c r="B2082" s="163"/>
      <c r="C2082" s="151" t="s">
        <v>838</v>
      </c>
      <c r="D2082" s="360"/>
      <c r="E2082" s="164"/>
      <c r="F2082" s="165"/>
      <c r="G2082" s="249"/>
      <c r="H2082" s="244"/>
      <c r="I2082" s="244">
        <f>SUM(I2080:I2081)</f>
        <v>0</v>
      </c>
      <c r="J2082" s="244"/>
      <c r="K2082" s="255"/>
      <c r="L2082" s="159">
        <f>SUM(G2082:K2082)</f>
        <v>0</v>
      </c>
      <c r="M2082" s="156"/>
      <c r="N2082" s="250"/>
      <c r="O2082" s="157">
        <f>SUM(O2079:O2081)</f>
        <v>150000</v>
      </c>
      <c r="P2082" s="248">
        <f t="shared" si="159"/>
        <v>219000</v>
      </c>
      <c r="Q2082" s="158"/>
      <c r="R2082" s="255"/>
      <c r="S2082" s="159">
        <f t="shared" si="158"/>
        <v>219000</v>
      </c>
      <c r="T2082" s="225"/>
      <c r="U2082" s="161"/>
    </row>
    <row r="2083" spans="1:24" hidden="1" outlineLevel="1">
      <c r="A2083" s="229" t="s">
        <v>877</v>
      </c>
      <c r="B2083" s="163"/>
      <c r="C2083" s="151"/>
      <c r="D2083" s="166"/>
      <c r="E2083" s="164"/>
      <c r="F2083" s="165"/>
      <c r="G2083" s="172"/>
      <c r="H2083" s="164"/>
      <c r="I2083" s="164"/>
      <c r="J2083" s="164"/>
      <c r="K2083" s="223"/>
      <c r="L2083" s="176"/>
      <c r="M2083" s="156"/>
      <c r="N2083" s="250"/>
      <c r="O2083" s="157"/>
      <c r="P2083" s="248"/>
      <c r="Q2083" s="158"/>
      <c r="R2083" s="255"/>
      <c r="S2083" s="159"/>
      <c r="T2083" s="225"/>
      <c r="U2083" s="161"/>
    </row>
    <row r="2084" spans="1:24" hidden="1" outlineLevel="1">
      <c r="A2084" s="231"/>
      <c r="B2084" s="163"/>
      <c r="C2084" s="151" t="s">
        <v>878</v>
      </c>
      <c r="D2084" s="166"/>
      <c r="E2084" s="164"/>
      <c r="F2084" s="165"/>
      <c r="G2084" s="172"/>
      <c r="H2084" s="164"/>
      <c r="I2084" s="164"/>
      <c r="J2084" s="164"/>
      <c r="K2084" s="223"/>
      <c r="L2084" s="176"/>
      <c r="M2084" s="156"/>
      <c r="N2084" s="250"/>
      <c r="O2084" s="157">
        <v>60000</v>
      </c>
      <c r="P2084" s="248">
        <f t="shared" si="159"/>
        <v>87600</v>
      </c>
      <c r="Q2084" s="158"/>
      <c r="R2084" s="255"/>
      <c r="S2084" s="159">
        <f t="shared" si="158"/>
        <v>87600</v>
      </c>
      <c r="T2084" s="225"/>
      <c r="U2084" s="161" t="s">
        <v>1163</v>
      </c>
    </row>
    <row r="2085" spans="1:24" hidden="1" outlineLevel="1">
      <c r="A2085" s="231"/>
      <c r="B2085" s="163"/>
      <c r="C2085" s="151" t="s">
        <v>879</v>
      </c>
      <c r="D2085" s="166"/>
      <c r="E2085" s="164"/>
      <c r="F2085" s="165"/>
      <c r="G2085" s="172"/>
      <c r="H2085" s="164"/>
      <c r="I2085" s="164"/>
      <c r="J2085" s="164"/>
      <c r="K2085" s="223"/>
      <c r="L2085" s="176"/>
      <c r="M2085" s="156">
        <v>175000</v>
      </c>
      <c r="N2085" s="250">
        <f t="shared" ref="N2085:N2091" si="160">M2085*1.23</f>
        <v>215250</v>
      </c>
      <c r="O2085" s="157"/>
      <c r="P2085" s="248"/>
      <c r="Q2085" s="158">
        <v>175000</v>
      </c>
      <c r="R2085" s="255">
        <f t="shared" ref="R2085:R2086" si="161">Q2085*1.73</f>
        <v>302750</v>
      </c>
      <c r="S2085" s="159">
        <f t="shared" si="158"/>
        <v>518000</v>
      </c>
      <c r="T2085" s="225"/>
      <c r="U2085" s="161" t="s">
        <v>880</v>
      </c>
    </row>
    <row r="2086" spans="1:24" ht="16.5" customHeight="1" collapsed="1">
      <c r="A2086" s="231"/>
      <c r="B2086" s="163"/>
      <c r="C2086" s="151" t="s">
        <v>881</v>
      </c>
      <c r="D2086" s="360"/>
      <c r="E2086" s="164"/>
      <c r="F2086" s="165"/>
      <c r="G2086" s="249"/>
      <c r="H2086" s="244"/>
      <c r="I2086" s="244"/>
      <c r="J2086" s="244"/>
      <c r="K2086" s="255"/>
      <c r="L2086" s="159"/>
      <c r="M2086" s="156">
        <f>SUM(M2084:M2085)</f>
        <v>175000</v>
      </c>
      <c r="N2086" s="250">
        <f t="shared" si="160"/>
        <v>215250</v>
      </c>
      <c r="O2086" s="157">
        <f>SUM(O2084:O2085)</f>
        <v>60000</v>
      </c>
      <c r="P2086" s="248">
        <f t="shared" si="159"/>
        <v>87600</v>
      </c>
      <c r="Q2086" s="158">
        <f>SUM(Q2084:Q2085)</f>
        <v>175000</v>
      </c>
      <c r="R2086" s="255">
        <f t="shared" si="161"/>
        <v>302750</v>
      </c>
      <c r="S2086" s="159">
        <f t="shared" si="158"/>
        <v>605600</v>
      </c>
      <c r="T2086" s="225"/>
      <c r="U2086" s="161"/>
    </row>
    <row r="2087" spans="1:24" hidden="1" outlineLevel="1">
      <c r="A2087" s="229" t="s">
        <v>882</v>
      </c>
      <c r="B2087" s="163"/>
      <c r="C2087" s="151"/>
      <c r="D2087" s="166"/>
      <c r="E2087" s="164"/>
      <c r="F2087" s="165"/>
      <c r="G2087" s="172"/>
      <c r="H2087" s="164"/>
      <c r="I2087" s="164"/>
      <c r="J2087" s="164"/>
      <c r="K2087" s="223"/>
      <c r="L2087" s="176"/>
      <c r="M2087" s="156"/>
      <c r="N2087" s="250"/>
      <c r="O2087" s="157"/>
      <c r="P2087" s="248"/>
      <c r="Q2087" s="158"/>
      <c r="R2087" s="255"/>
      <c r="S2087" s="159"/>
      <c r="T2087" s="225"/>
      <c r="U2087" s="263"/>
    </row>
    <row r="2088" spans="1:24" hidden="1" outlineLevel="1">
      <c r="A2088" s="229"/>
      <c r="B2088" s="163"/>
      <c r="C2088" s="151" t="s">
        <v>883</v>
      </c>
      <c r="D2088" s="166"/>
      <c r="E2088" s="164"/>
      <c r="F2088" s="165"/>
      <c r="G2088" s="172"/>
      <c r="H2088" s="164">
        <f>CIP!$AS$55</f>
        <v>0</v>
      </c>
      <c r="I2088" s="164"/>
      <c r="J2088" s="164"/>
      <c r="K2088" s="223"/>
      <c r="L2088" s="176">
        <f>SUM(G2088:K2088)</f>
        <v>0</v>
      </c>
      <c r="M2088" s="156">
        <v>700000</v>
      </c>
      <c r="N2088" s="250">
        <f t="shared" si="160"/>
        <v>861000</v>
      </c>
      <c r="O2088" s="157">
        <v>200000</v>
      </c>
      <c r="P2088" s="248">
        <f t="shared" si="159"/>
        <v>292000</v>
      </c>
      <c r="Q2088" s="158"/>
      <c r="R2088" s="255"/>
      <c r="S2088" s="159">
        <f t="shared" si="158"/>
        <v>1153000</v>
      </c>
      <c r="T2088" s="225"/>
      <c r="U2088" s="263"/>
    </row>
    <row r="2089" spans="1:24" hidden="1" outlineLevel="1">
      <c r="A2089" s="229"/>
      <c r="B2089" s="163"/>
      <c r="C2089" s="151" t="s">
        <v>884</v>
      </c>
      <c r="D2089" s="166"/>
      <c r="E2089" s="164"/>
      <c r="F2089" s="165"/>
      <c r="G2089" s="172"/>
      <c r="H2089" s="164"/>
      <c r="I2089" s="164"/>
      <c r="J2089" s="164">
        <f>CIP!$AU$113</f>
        <v>0</v>
      </c>
      <c r="K2089" s="223"/>
      <c r="L2089" s="176">
        <f>SUM(G2089:K2089)</f>
        <v>0</v>
      </c>
      <c r="M2089" s="156"/>
      <c r="N2089" s="250"/>
      <c r="O2089" s="157"/>
      <c r="P2089" s="248"/>
      <c r="Q2089" s="158"/>
      <c r="R2089" s="255"/>
      <c r="S2089" s="159">
        <f t="shared" si="158"/>
        <v>0</v>
      </c>
      <c r="T2089" s="225"/>
      <c r="U2089" s="263"/>
    </row>
    <row r="2090" spans="1:24" ht="16.5" customHeight="1" collapsed="1">
      <c r="A2090" s="229"/>
      <c r="B2090" s="163"/>
      <c r="C2090" s="151" t="s">
        <v>885</v>
      </c>
      <c r="D2090" s="360"/>
      <c r="E2090" s="164"/>
      <c r="F2090" s="165"/>
      <c r="G2090" s="249"/>
      <c r="H2090" s="244">
        <f>SUM(H2088:H2089)</f>
        <v>0</v>
      </c>
      <c r="I2090" s="244"/>
      <c r="J2090" s="244">
        <f>SUM(J2087:J2089)</f>
        <v>0</v>
      </c>
      <c r="K2090" s="255"/>
      <c r="L2090" s="159">
        <f>SUM(L2088:L2089)</f>
        <v>0</v>
      </c>
      <c r="M2090" s="156">
        <f>SUM(M2088)</f>
        <v>700000</v>
      </c>
      <c r="N2090" s="250">
        <f t="shared" si="160"/>
        <v>861000</v>
      </c>
      <c r="O2090" s="157">
        <f>SUM(O2087:O2088)</f>
        <v>200000</v>
      </c>
      <c r="P2090" s="248">
        <f t="shared" si="159"/>
        <v>292000</v>
      </c>
      <c r="Q2090" s="158"/>
      <c r="R2090" s="255"/>
      <c r="S2090" s="159">
        <f t="shared" si="158"/>
        <v>1153000</v>
      </c>
      <c r="T2090" s="225"/>
      <c r="U2090" s="263"/>
    </row>
    <row r="2091" spans="1:24" ht="16.5" customHeight="1">
      <c r="A2091" s="231"/>
      <c r="B2091" s="749" t="s">
        <v>1486</v>
      </c>
      <c r="C2091" s="750"/>
      <c r="D2091" s="348"/>
      <c r="E2091" s="164"/>
      <c r="F2091" s="165"/>
      <c r="G2091" s="249"/>
      <c r="H2091" s="244">
        <f>SUM(H2078,H2082,H2086,H2090)</f>
        <v>0</v>
      </c>
      <c r="I2091" s="244">
        <f>SUM(I2078,I2082,I2086,I2090)</f>
        <v>0</v>
      </c>
      <c r="J2091" s="244">
        <f t="shared" ref="J2091:K2091" si="162">SUM(J2078,J2082,J2086,J2090)</f>
        <v>180721.01362499996</v>
      </c>
      <c r="K2091" s="255">
        <f t="shared" si="162"/>
        <v>0</v>
      </c>
      <c r="L2091" s="159">
        <f>SUM(G2091:K2091)</f>
        <v>180721.01362499996</v>
      </c>
      <c r="M2091" s="156">
        <f>SUM(M2078,M2082,M2086,M2090)</f>
        <v>1235000</v>
      </c>
      <c r="N2091" s="250">
        <f t="shared" si="160"/>
        <v>1519050</v>
      </c>
      <c r="O2091" s="156">
        <f>SUM(O2078,O2082,O2086,O2090)</f>
        <v>800000</v>
      </c>
      <c r="P2091" s="248">
        <f t="shared" si="159"/>
        <v>1168000</v>
      </c>
      <c r="Q2091" s="156">
        <f>SUM(Q2078,Q2082,Q2086,Q2090)</f>
        <v>605000</v>
      </c>
      <c r="R2091" s="255">
        <f>Q2091*1.73</f>
        <v>1046650</v>
      </c>
      <c r="S2091" s="159">
        <f t="shared" si="158"/>
        <v>3914421.0136249997</v>
      </c>
      <c r="T2091" s="225"/>
      <c r="U2091" s="161"/>
    </row>
    <row r="2092" spans="1:24" ht="12.75" customHeight="1">
      <c r="A2092" s="231"/>
      <c r="B2092" s="163"/>
      <c r="C2092" s="163"/>
      <c r="D2092" s="166"/>
      <c r="E2092" s="164"/>
      <c r="F2092" s="165"/>
      <c r="G2092" s="172"/>
      <c r="H2092" s="164"/>
      <c r="I2092" s="164"/>
      <c r="J2092" s="164"/>
      <c r="K2092" s="223"/>
      <c r="L2092" s="176"/>
      <c r="M2092" s="168"/>
      <c r="N2092" s="168"/>
      <c r="O2092" s="164"/>
      <c r="P2092" s="165"/>
      <c r="Q2092" s="165"/>
      <c r="R2092" s="223"/>
      <c r="S2092" s="159"/>
      <c r="T2092" s="225"/>
      <c r="U2092" s="170"/>
    </row>
    <row r="2093" spans="1:24" ht="15.75">
      <c r="A2093" s="264" t="s">
        <v>886</v>
      </c>
      <c r="B2093" s="265"/>
      <c r="C2093" s="271"/>
      <c r="D2093" s="349"/>
      <c r="E2093" s="266"/>
      <c r="F2093" s="267"/>
      <c r="G2093" s="268"/>
      <c r="H2093" s="266"/>
      <c r="I2093" s="266"/>
      <c r="J2093" s="266"/>
      <c r="K2093" s="267"/>
      <c r="L2093" s="269"/>
      <c r="M2093" s="270"/>
      <c r="N2093" s="270"/>
      <c r="O2093" s="265"/>
      <c r="P2093" s="271"/>
      <c r="Q2093" s="271"/>
      <c r="R2093" s="516"/>
      <c r="S2093" s="272"/>
      <c r="T2093" s="294"/>
      <c r="U2093" s="274"/>
    </row>
    <row r="2094" spans="1:24" s="233" customFormat="1" hidden="1" outlineLevel="1">
      <c r="A2094" s="229" t="s">
        <v>887</v>
      </c>
      <c r="B2094" s="171"/>
      <c r="C2094" s="151"/>
      <c r="D2094" s="360"/>
      <c r="E2094" s="157"/>
      <c r="F2094" s="158"/>
      <c r="G2094" s="197"/>
      <c r="H2094" s="157"/>
      <c r="I2094" s="157"/>
      <c r="J2094" s="157"/>
      <c r="K2094" s="158"/>
      <c r="L2094" s="155"/>
      <c r="M2094" s="156"/>
      <c r="N2094" s="156"/>
      <c r="O2094" s="157"/>
      <c r="P2094" s="158"/>
      <c r="Q2094" s="158"/>
      <c r="R2094" s="215"/>
      <c r="S2094" s="159"/>
      <c r="T2094" s="225"/>
      <c r="U2094" s="484"/>
      <c r="V2094" s="486"/>
      <c r="W2094" s="486"/>
      <c r="X2094" s="486"/>
    </row>
    <row r="2095" spans="1:24" hidden="1" outlineLevel="2">
      <c r="A2095" s="162"/>
      <c r="B2095" s="151" t="s">
        <v>888</v>
      </c>
      <c r="C2095" s="163"/>
      <c r="D2095" s="166"/>
      <c r="E2095" s="164"/>
      <c r="F2095" s="165"/>
      <c r="G2095" s="197"/>
      <c r="H2095" s="157"/>
      <c r="I2095" s="157"/>
      <c r="J2095" s="157"/>
      <c r="K2095" s="158"/>
      <c r="L2095" s="155"/>
      <c r="M2095" s="156"/>
      <c r="N2095" s="156"/>
      <c r="O2095" s="157"/>
      <c r="P2095" s="158"/>
      <c r="Q2095" s="158"/>
      <c r="R2095" s="215"/>
      <c r="S2095" s="159"/>
      <c r="T2095" s="225"/>
      <c r="U2095" s="485"/>
      <c r="V2095" s="310"/>
      <c r="W2095" s="310"/>
      <c r="X2095" s="310"/>
    </row>
    <row r="2096" spans="1:24" hidden="1" outlineLevel="2">
      <c r="A2096" s="162"/>
      <c r="B2096" s="151"/>
      <c r="C2096" s="236" t="s">
        <v>889</v>
      </c>
      <c r="D2096" s="361"/>
      <c r="E2096" s="164"/>
      <c r="F2096" s="165"/>
      <c r="G2096" s="197"/>
      <c r="H2096" s="157"/>
      <c r="I2096" s="157"/>
      <c r="J2096" s="157"/>
      <c r="K2096" s="157">
        <v>200000</v>
      </c>
      <c r="L2096" s="155">
        <f>SUM(G2096:K2096)</f>
        <v>200000</v>
      </c>
      <c r="M2096" s="157">
        <v>270000</v>
      </c>
      <c r="N2096" s="259"/>
      <c r="O2096" s="233"/>
      <c r="P2096" s="171"/>
      <c r="Q2096" s="158"/>
      <c r="R2096" s="215"/>
      <c r="S2096" s="159"/>
      <c r="T2096" s="225"/>
      <c r="U2096" s="485"/>
      <c r="V2096" s="310"/>
      <c r="W2096" s="310"/>
      <c r="X2096" s="310"/>
    </row>
    <row r="2097" spans="1:24" hidden="1" outlineLevel="2">
      <c r="A2097" s="162"/>
      <c r="B2097" s="151"/>
      <c r="C2097" s="236" t="s">
        <v>890</v>
      </c>
      <c r="D2097" s="361"/>
      <c r="E2097" s="164"/>
      <c r="F2097" s="165"/>
      <c r="G2097" s="197"/>
      <c r="H2097" s="157"/>
      <c r="I2097" s="157"/>
      <c r="J2097" s="157"/>
      <c r="K2097" s="157">
        <v>200000</v>
      </c>
      <c r="L2097" s="155">
        <f>SUM(G2097:K2097)</f>
        <v>200000</v>
      </c>
      <c r="M2097" s="156"/>
      <c r="N2097" s="156"/>
      <c r="O2097" s="157"/>
      <c r="P2097" s="158"/>
      <c r="Q2097" s="158"/>
      <c r="R2097" s="215"/>
      <c r="S2097" s="159"/>
      <c r="T2097" s="225"/>
      <c r="U2097" s="485"/>
      <c r="V2097" s="310"/>
      <c r="W2097" s="310"/>
      <c r="X2097" s="310"/>
    </row>
    <row r="2098" spans="1:24" hidden="1" outlineLevel="2">
      <c r="A2098" s="162"/>
      <c r="B2098" s="163"/>
      <c r="C2098" s="236" t="s">
        <v>891</v>
      </c>
      <c r="D2098" s="361"/>
      <c r="E2098" s="164"/>
      <c r="F2098" s="165"/>
      <c r="G2098" s="197"/>
      <c r="H2098" s="157"/>
      <c r="I2098" s="157"/>
      <c r="J2098" s="157"/>
      <c r="K2098" s="157">
        <v>800000</v>
      </c>
      <c r="L2098" s="155">
        <f>SUM(G2098:K2098)</f>
        <v>800000</v>
      </c>
      <c r="M2098" s="157">
        <v>890000</v>
      </c>
      <c r="N2098" s="157"/>
      <c r="O2098" s="157"/>
      <c r="P2098" s="158"/>
      <c r="Q2098" s="158"/>
      <c r="R2098" s="215"/>
      <c r="S2098" s="159"/>
      <c r="T2098" s="225"/>
      <c r="U2098" s="485" t="s">
        <v>892</v>
      </c>
      <c r="V2098" s="310"/>
      <c r="W2098" s="310"/>
      <c r="X2098" s="310"/>
    </row>
    <row r="2099" spans="1:24" hidden="1" outlineLevel="2">
      <c r="A2099" s="162"/>
      <c r="B2099" s="163"/>
      <c r="C2099" s="236" t="s">
        <v>893</v>
      </c>
      <c r="D2099" s="361"/>
      <c r="E2099" s="164"/>
      <c r="F2099" s="165"/>
      <c r="G2099" s="197"/>
      <c r="H2099" s="157"/>
      <c r="I2099" s="157"/>
      <c r="J2099" s="157"/>
      <c r="K2099" s="157"/>
      <c r="L2099" s="155"/>
      <c r="M2099" s="156"/>
      <c r="N2099" s="156"/>
      <c r="O2099" s="157"/>
      <c r="P2099" s="158"/>
      <c r="Q2099" s="158"/>
      <c r="R2099" s="215"/>
      <c r="S2099" s="159"/>
      <c r="T2099" s="225"/>
      <c r="U2099" s="485"/>
      <c r="V2099" s="310"/>
      <c r="W2099" s="310"/>
      <c r="X2099" s="310"/>
    </row>
    <row r="2100" spans="1:24" hidden="1" outlineLevel="2">
      <c r="A2100" s="162"/>
      <c r="B2100" s="163"/>
      <c r="C2100" s="236" t="s">
        <v>894</v>
      </c>
      <c r="D2100" s="361"/>
      <c r="E2100" s="164"/>
      <c r="F2100" s="165"/>
      <c r="G2100" s="197"/>
      <c r="H2100" s="157"/>
      <c r="I2100" s="157"/>
      <c r="J2100" s="157"/>
      <c r="K2100" s="157">
        <v>300000</v>
      </c>
      <c r="L2100" s="155">
        <f>SUM(G2100:K2100)</f>
        <v>300000</v>
      </c>
      <c r="M2100" s="156"/>
      <c r="N2100" s="156"/>
      <c r="O2100" s="157"/>
      <c r="P2100" s="158"/>
      <c r="Q2100" s="158"/>
      <c r="R2100" s="215"/>
      <c r="S2100" s="159"/>
      <c r="T2100" s="225"/>
      <c r="U2100" s="485"/>
      <c r="V2100" s="310"/>
      <c r="W2100" s="310"/>
      <c r="X2100" s="310"/>
    </row>
    <row r="2101" spans="1:24" hidden="1" outlineLevel="2">
      <c r="A2101" s="162"/>
      <c r="B2101" s="163"/>
      <c r="C2101" s="236" t="s">
        <v>895</v>
      </c>
      <c r="D2101" s="361"/>
      <c r="E2101" s="164"/>
      <c r="F2101" s="165"/>
      <c r="G2101" s="197"/>
      <c r="H2101" s="157"/>
      <c r="I2101" s="157"/>
      <c r="J2101" s="157"/>
      <c r="K2101" s="157"/>
      <c r="L2101" s="155"/>
      <c r="M2101" s="156">
        <v>760000</v>
      </c>
      <c r="N2101" s="156"/>
      <c r="O2101" s="157"/>
      <c r="P2101" s="158"/>
      <c r="Q2101" s="158"/>
      <c r="R2101" s="215"/>
      <c r="S2101" s="159"/>
      <c r="T2101" s="225"/>
      <c r="U2101" s="485"/>
      <c r="V2101" s="310"/>
      <c r="W2101" s="310"/>
      <c r="X2101" s="310"/>
    </row>
    <row r="2102" spans="1:24" hidden="1" outlineLevel="2">
      <c r="A2102" s="162"/>
      <c r="B2102" s="163"/>
      <c r="C2102" s="236" t="s">
        <v>896</v>
      </c>
      <c r="D2102" s="361"/>
      <c r="E2102" s="164"/>
      <c r="F2102" s="165"/>
      <c r="G2102" s="197"/>
      <c r="H2102" s="157"/>
      <c r="I2102" s="157"/>
      <c r="J2102" s="157"/>
      <c r="K2102" s="157"/>
      <c r="L2102" s="155"/>
      <c r="M2102" s="156"/>
      <c r="N2102" s="156"/>
      <c r="O2102" s="157"/>
      <c r="P2102" s="158"/>
      <c r="Q2102" s="158"/>
      <c r="R2102" s="215"/>
      <c r="S2102" s="159"/>
      <c r="T2102" s="225"/>
      <c r="U2102" s="485"/>
      <c r="V2102" s="310"/>
      <c r="W2102" s="310"/>
      <c r="X2102" s="310"/>
    </row>
    <row r="2103" spans="1:24" hidden="1" outlineLevel="2">
      <c r="A2103" s="162"/>
      <c r="B2103" s="163"/>
      <c r="C2103" s="236" t="s">
        <v>897</v>
      </c>
      <c r="D2103" s="361"/>
      <c r="E2103" s="164"/>
      <c r="F2103" s="165"/>
      <c r="G2103" s="197"/>
      <c r="H2103" s="157"/>
      <c r="I2103" s="157"/>
      <c r="J2103" s="157"/>
      <c r="K2103" s="157"/>
      <c r="L2103" s="155"/>
      <c r="M2103" s="157">
        <v>270000</v>
      </c>
      <c r="N2103" s="157"/>
      <c r="O2103" s="157"/>
      <c r="P2103" s="158"/>
      <c r="Q2103" s="158"/>
      <c r="R2103" s="215"/>
      <c r="S2103" s="159"/>
      <c r="T2103" s="225"/>
      <c r="U2103" s="485"/>
      <c r="V2103" s="310"/>
      <c r="W2103" s="310"/>
      <c r="X2103" s="310"/>
    </row>
    <row r="2104" spans="1:24" hidden="1" outlineLevel="2">
      <c r="A2104" s="162"/>
      <c r="B2104" s="163"/>
      <c r="C2104" s="236" t="s">
        <v>898</v>
      </c>
      <c r="D2104" s="361"/>
      <c r="E2104" s="164"/>
      <c r="F2104" s="165"/>
      <c r="G2104" s="197"/>
      <c r="H2104" s="157"/>
      <c r="I2104" s="256"/>
      <c r="J2104" s="256"/>
      <c r="K2104" s="157"/>
      <c r="L2104" s="155"/>
      <c r="M2104" s="156"/>
      <c r="N2104" s="156"/>
      <c r="O2104" s="157"/>
      <c r="P2104" s="158"/>
      <c r="Q2104" s="158"/>
      <c r="R2104" s="215"/>
      <c r="S2104" s="159"/>
      <c r="T2104" s="225"/>
      <c r="U2104" s="485"/>
      <c r="V2104" s="310"/>
      <c r="W2104" s="310"/>
      <c r="X2104" s="310"/>
    </row>
    <row r="2105" spans="1:24" hidden="1" outlineLevel="2">
      <c r="A2105" s="162"/>
      <c r="B2105" s="163"/>
      <c r="C2105" s="236" t="s">
        <v>899</v>
      </c>
      <c r="D2105" s="361"/>
      <c r="E2105" s="164"/>
      <c r="F2105" s="165"/>
      <c r="G2105" s="197"/>
      <c r="H2105" s="157"/>
      <c r="I2105" s="157"/>
      <c r="J2105" s="157"/>
      <c r="K2105" s="157"/>
      <c r="L2105" s="155"/>
      <c r="M2105" s="156"/>
      <c r="N2105" s="156"/>
      <c r="O2105" s="157"/>
      <c r="P2105" s="158"/>
      <c r="Q2105" s="158"/>
      <c r="R2105" s="215"/>
      <c r="S2105" s="159"/>
      <c r="T2105" s="225"/>
      <c r="U2105" s="485" t="s">
        <v>900</v>
      </c>
      <c r="V2105" s="310"/>
      <c r="W2105" s="310"/>
      <c r="X2105" s="310"/>
    </row>
    <row r="2106" spans="1:24" hidden="1" outlineLevel="2">
      <c r="A2106" s="162"/>
      <c r="B2106" s="163"/>
      <c r="C2106" s="236" t="s">
        <v>901</v>
      </c>
      <c r="D2106" s="361"/>
      <c r="E2106" s="164"/>
      <c r="F2106" s="165"/>
      <c r="G2106" s="311"/>
      <c r="H2106" s="157"/>
      <c r="I2106" s="157"/>
      <c r="J2106" s="157"/>
      <c r="K2106" s="156">
        <v>150000</v>
      </c>
      <c r="L2106" s="155">
        <f>SUM(G2106:K2106)</f>
        <v>150000</v>
      </c>
      <c r="M2106" s="302">
        <v>175000</v>
      </c>
      <c r="N2106" s="259"/>
      <c r="O2106" s="157"/>
      <c r="P2106" s="158"/>
      <c r="Q2106" s="158"/>
      <c r="R2106" s="215"/>
      <c r="S2106" s="159"/>
      <c r="T2106" s="225"/>
      <c r="U2106" s="485"/>
      <c r="V2106" s="310"/>
      <c r="W2106" s="310"/>
      <c r="X2106" s="310"/>
    </row>
    <row r="2107" spans="1:24" hidden="1" outlineLevel="1" collapsed="1">
      <c r="A2107" s="162"/>
      <c r="B2107" s="163"/>
      <c r="C2107" s="151" t="s">
        <v>888</v>
      </c>
      <c r="D2107" s="360"/>
      <c r="E2107" s="164"/>
      <c r="F2107" s="165"/>
      <c r="G2107" s="465"/>
      <c r="H2107" s="304"/>
      <c r="I2107" s="304"/>
      <c r="J2107" s="304"/>
      <c r="K2107" s="405">
        <f>CIP!$AV$135</f>
        <v>0</v>
      </c>
      <c r="L2107" s="306">
        <f>SUM(G2107:K2107)</f>
        <v>0</v>
      </c>
      <c r="M2107" s="471">
        <f>SUM(M2096:M2106)</f>
        <v>2365000</v>
      </c>
      <c r="N2107" s="250">
        <f>M2107*1.23</f>
        <v>2908950</v>
      </c>
      <c r="O2107" s="304"/>
      <c r="P2107" s="305"/>
      <c r="Q2107" s="305"/>
      <c r="R2107" s="520"/>
      <c r="S2107" s="159">
        <f t="shared" ref="S2107" si="163">SUM(L2107,N2107,P2107,R2107)</f>
        <v>2908950</v>
      </c>
      <c r="T2107" s="307"/>
      <c r="U2107" s="485" t="s">
        <v>902</v>
      </c>
      <c r="V2107" s="310"/>
      <c r="W2107" s="310"/>
      <c r="X2107" s="310"/>
    </row>
    <row r="2108" spans="1:24" hidden="1" outlineLevel="2">
      <c r="A2108" s="229"/>
      <c r="B2108" s="151" t="s">
        <v>903</v>
      </c>
      <c r="C2108" s="163"/>
      <c r="D2108" s="166"/>
      <c r="E2108" s="164"/>
      <c r="F2108" s="165"/>
      <c r="G2108" s="197"/>
      <c r="H2108" s="157"/>
      <c r="I2108" s="157"/>
      <c r="J2108" s="157"/>
      <c r="K2108" s="158"/>
      <c r="L2108" s="155"/>
      <c r="M2108" s="156"/>
      <c r="N2108" s="156"/>
      <c r="O2108" s="157"/>
      <c r="P2108" s="158"/>
      <c r="Q2108" s="158"/>
      <c r="R2108" s="215"/>
      <c r="S2108" s="159"/>
      <c r="T2108" s="225"/>
      <c r="U2108" s="485"/>
      <c r="V2108" s="310"/>
      <c r="W2108" s="310"/>
      <c r="X2108" s="310"/>
    </row>
    <row r="2109" spans="1:24" hidden="1" outlineLevel="2">
      <c r="A2109" s="162"/>
      <c r="B2109" s="163"/>
      <c r="C2109" s="236" t="s">
        <v>904</v>
      </c>
      <c r="D2109" s="361"/>
      <c r="E2109" s="164"/>
      <c r="F2109" s="165"/>
      <c r="G2109" s="197"/>
      <c r="H2109" s="215"/>
      <c r="I2109" s="158"/>
      <c r="J2109" s="158"/>
      <c r="K2109" s="215"/>
      <c r="L2109" s="155"/>
      <c r="M2109" s="156"/>
      <c r="N2109" s="156"/>
      <c r="O2109" s="157"/>
      <c r="P2109" s="158"/>
      <c r="Q2109" s="158"/>
      <c r="R2109" s="215"/>
      <c r="S2109" s="159"/>
      <c r="T2109" s="225"/>
      <c r="U2109" s="485"/>
      <c r="V2109" s="310"/>
      <c r="W2109" s="310" t="s">
        <v>905</v>
      </c>
      <c r="X2109" s="310"/>
    </row>
    <row r="2110" spans="1:24" hidden="1" outlineLevel="1" collapsed="1">
      <c r="A2110" s="162"/>
      <c r="B2110" s="163"/>
      <c r="C2110" s="151" t="s">
        <v>903</v>
      </c>
      <c r="D2110" s="360"/>
      <c r="E2110" s="164"/>
      <c r="F2110" s="165"/>
      <c r="G2110" s="197"/>
      <c r="H2110" s="158"/>
      <c r="I2110" s="157"/>
      <c r="J2110" s="157"/>
      <c r="K2110" s="158"/>
      <c r="L2110" s="155"/>
      <c r="M2110" s="156"/>
      <c r="N2110" s="156"/>
      <c r="O2110" s="157"/>
      <c r="P2110" s="158"/>
      <c r="Q2110" s="158"/>
      <c r="R2110" s="215"/>
      <c r="S2110" s="159"/>
      <c r="T2110" s="225"/>
      <c r="U2110" s="485" t="s">
        <v>1306</v>
      </c>
      <c r="V2110" s="310"/>
      <c r="W2110" s="310"/>
      <c r="X2110" s="310"/>
    </row>
    <row r="2111" spans="1:24" hidden="1" outlineLevel="2">
      <c r="A2111" s="162"/>
      <c r="B2111" s="151" t="s">
        <v>906</v>
      </c>
      <c r="C2111" s="163"/>
      <c r="D2111" s="166"/>
      <c r="E2111" s="164"/>
      <c r="F2111" s="165"/>
      <c r="G2111" s="197"/>
      <c r="H2111" s="157"/>
      <c r="I2111" s="157"/>
      <c r="J2111" s="157"/>
      <c r="K2111" s="157"/>
      <c r="L2111" s="155"/>
      <c r="M2111" s="156"/>
      <c r="N2111" s="259"/>
      <c r="O2111" s="158"/>
      <c r="P2111" s="158"/>
      <c r="Q2111" s="158"/>
      <c r="R2111" s="215"/>
      <c r="S2111" s="159"/>
      <c r="T2111" s="225"/>
      <c r="U2111" s="485"/>
      <c r="V2111" s="310"/>
      <c r="W2111" s="310"/>
      <c r="X2111" s="310"/>
    </row>
    <row r="2112" spans="1:24" hidden="1" outlineLevel="2">
      <c r="A2112" s="162"/>
      <c r="B2112" s="151"/>
      <c r="C2112" s="236" t="s">
        <v>889</v>
      </c>
      <c r="D2112" s="346"/>
      <c r="E2112" s="200"/>
      <c r="F2112" s="200"/>
      <c r="G2112" s="197"/>
      <c r="H2112" s="157"/>
      <c r="I2112" s="157"/>
      <c r="J2112" s="157"/>
      <c r="K2112" s="157"/>
      <c r="L2112" s="155"/>
      <c r="M2112" s="157"/>
      <c r="N2112" s="259"/>
      <c r="O2112" s="311">
        <v>190000</v>
      </c>
      <c r="P2112" s="248">
        <f t="shared" ref="P2112:P2113" si="164">O2112*1.46</f>
        <v>277400</v>
      </c>
      <c r="Q2112" s="158"/>
      <c r="R2112" s="215"/>
      <c r="S2112" s="159">
        <f t="shared" ref="S2112:S2175" si="165">SUM(L2112,N2112,P2112,R2112)</f>
        <v>277400</v>
      </c>
      <c r="T2112" s="225"/>
      <c r="U2112" s="485"/>
      <c r="V2112" s="310"/>
      <c r="W2112" s="310"/>
      <c r="X2112" s="310"/>
    </row>
    <row r="2113" spans="1:24" hidden="1" outlineLevel="2">
      <c r="A2113" s="162"/>
      <c r="B2113" s="163"/>
      <c r="C2113" s="236" t="s">
        <v>891</v>
      </c>
      <c r="D2113" s="361"/>
      <c r="E2113" s="164"/>
      <c r="F2113" s="165"/>
      <c r="G2113" s="197"/>
      <c r="H2113" s="157"/>
      <c r="I2113" s="157"/>
      <c r="J2113" s="157"/>
      <c r="K2113" s="157"/>
      <c r="L2113" s="155"/>
      <c r="M2113" s="157">
        <v>450000</v>
      </c>
      <c r="N2113" s="250">
        <f>M2113*1.23</f>
        <v>553500</v>
      </c>
      <c r="O2113" s="259">
        <v>210000</v>
      </c>
      <c r="P2113" s="248">
        <f t="shared" si="164"/>
        <v>306600</v>
      </c>
      <c r="Q2113" s="158"/>
      <c r="R2113" s="215"/>
      <c r="S2113" s="159">
        <f t="shared" si="165"/>
        <v>860100</v>
      </c>
      <c r="T2113" s="225"/>
      <c r="U2113" s="485"/>
      <c r="V2113" s="310"/>
      <c r="W2113" s="310"/>
      <c r="X2113" s="310"/>
    </row>
    <row r="2114" spans="1:24" hidden="1" outlineLevel="2">
      <c r="A2114" s="162"/>
      <c r="B2114" s="163"/>
      <c r="C2114" s="236" t="s">
        <v>893</v>
      </c>
      <c r="D2114" s="361"/>
      <c r="E2114" s="164"/>
      <c r="F2114" s="165"/>
      <c r="G2114" s="197"/>
      <c r="H2114" s="157"/>
      <c r="I2114" s="157"/>
      <c r="J2114" s="157"/>
      <c r="K2114" s="157"/>
      <c r="L2114" s="155"/>
      <c r="M2114" s="157"/>
      <c r="N2114" s="259"/>
      <c r="O2114" s="259"/>
      <c r="P2114" s="259"/>
      <c r="Q2114" s="158"/>
      <c r="R2114" s="215"/>
      <c r="S2114" s="159"/>
      <c r="T2114" s="225"/>
      <c r="U2114" s="485"/>
      <c r="V2114" s="310"/>
      <c r="W2114" s="310"/>
      <c r="X2114" s="310"/>
    </row>
    <row r="2115" spans="1:24" hidden="1" outlineLevel="2">
      <c r="A2115" s="162"/>
      <c r="B2115" s="163"/>
      <c r="C2115" s="236" t="s">
        <v>894</v>
      </c>
      <c r="D2115" s="361"/>
      <c r="E2115" s="164"/>
      <c r="F2115" s="165"/>
      <c r="G2115" s="197"/>
      <c r="H2115" s="157"/>
      <c r="I2115" s="157"/>
      <c r="J2115" s="157"/>
      <c r="K2115" s="157"/>
      <c r="L2115" s="155"/>
      <c r="M2115" s="157">
        <v>200000</v>
      </c>
      <c r="N2115" s="250">
        <f t="shared" ref="N2115:N2116" si="166">M2115*1.23</f>
        <v>246000</v>
      </c>
      <c r="O2115" s="259"/>
      <c r="P2115" s="259"/>
      <c r="Q2115" s="158"/>
      <c r="R2115" s="215"/>
      <c r="S2115" s="159">
        <f t="shared" si="165"/>
        <v>246000</v>
      </c>
      <c r="T2115" s="225"/>
      <c r="U2115" s="485"/>
      <c r="V2115" s="310"/>
      <c r="W2115" s="310"/>
      <c r="X2115" s="310"/>
    </row>
    <row r="2116" spans="1:24" hidden="1" outlineLevel="2">
      <c r="A2116" s="162"/>
      <c r="B2116" s="163"/>
      <c r="C2116" s="236" t="s">
        <v>895</v>
      </c>
      <c r="D2116" s="361"/>
      <c r="E2116" s="164"/>
      <c r="F2116" s="165"/>
      <c r="G2116" s="197"/>
      <c r="H2116" s="157"/>
      <c r="I2116" s="157"/>
      <c r="J2116" s="157"/>
      <c r="K2116" s="157"/>
      <c r="L2116" s="155"/>
      <c r="M2116" s="157">
        <v>150000</v>
      </c>
      <c r="N2116" s="250">
        <f t="shared" si="166"/>
        <v>184500</v>
      </c>
      <c r="O2116" s="259">
        <v>175000</v>
      </c>
      <c r="P2116" s="248">
        <f t="shared" ref="P2116" si="167">O2116*1.46</f>
        <v>255500</v>
      </c>
      <c r="Q2116" s="158"/>
      <c r="R2116" s="215"/>
      <c r="S2116" s="159">
        <f t="shared" si="165"/>
        <v>440000</v>
      </c>
      <c r="T2116" s="225"/>
      <c r="U2116" s="485"/>
      <c r="V2116" s="310"/>
      <c r="W2116" s="310"/>
      <c r="X2116" s="310"/>
    </row>
    <row r="2117" spans="1:24" hidden="1" outlineLevel="2">
      <c r="A2117" s="162"/>
      <c r="B2117" s="163"/>
      <c r="C2117" s="236" t="s">
        <v>896</v>
      </c>
      <c r="D2117" s="361"/>
      <c r="E2117" s="164"/>
      <c r="F2117" s="165"/>
      <c r="G2117" s="197"/>
      <c r="H2117" s="157"/>
      <c r="I2117" s="157"/>
      <c r="J2117" s="157"/>
      <c r="K2117" s="157"/>
      <c r="L2117" s="155"/>
      <c r="M2117" s="157"/>
      <c r="N2117" s="259"/>
      <c r="O2117" s="259"/>
      <c r="P2117" s="259"/>
      <c r="Q2117" s="158"/>
      <c r="R2117" s="215"/>
      <c r="S2117" s="159"/>
      <c r="T2117" s="225"/>
      <c r="U2117" s="485"/>
      <c r="V2117" s="310"/>
      <c r="W2117" s="310"/>
      <c r="X2117" s="310"/>
    </row>
    <row r="2118" spans="1:24" hidden="1" outlineLevel="2">
      <c r="A2118" s="162"/>
      <c r="B2118" s="163"/>
      <c r="C2118" s="236" t="s">
        <v>897</v>
      </c>
      <c r="D2118" s="361"/>
      <c r="E2118" s="164"/>
      <c r="F2118" s="165"/>
      <c r="G2118" s="197"/>
      <c r="H2118" s="157"/>
      <c r="I2118" s="157"/>
      <c r="J2118" s="157"/>
      <c r="K2118" s="157"/>
      <c r="L2118" s="155"/>
      <c r="M2118" s="157"/>
      <c r="N2118" s="259"/>
      <c r="O2118" s="259">
        <v>240000</v>
      </c>
      <c r="P2118" s="248">
        <f t="shared" ref="P2118" si="168">O2118*1.46</f>
        <v>350400</v>
      </c>
      <c r="Q2118" s="158"/>
      <c r="R2118" s="215"/>
      <c r="S2118" s="159">
        <f t="shared" si="165"/>
        <v>350400</v>
      </c>
      <c r="T2118" s="225"/>
      <c r="U2118" s="485"/>
      <c r="V2118" s="310"/>
      <c r="W2118" s="310"/>
      <c r="X2118" s="310"/>
    </row>
    <row r="2119" spans="1:24" hidden="1" outlineLevel="2">
      <c r="A2119" s="162"/>
      <c r="B2119" s="163"/>
      <c r="C2119" s="236" t="s">
        <v>898</v>
      </c>
      <c r="D2119" s="361"/>
      <c r="E2119" s="164"/>
      <c r="F2119" s="165"/>
      <c r="G2119" s="197"/>
      <c r="H2119" s="157"/>
      <c r="I2119" s="157"/>
      <c r="J2119" s="157"/>
      <c r="K2119" s="157"/>
      <c r="L2119" s="155"/>
      <c r="M2119" s="157"/>
      <c r="N2119" s="259"/>
      <c r="O2119" s="259"/>
      <c r="P2119" s="259"/>
      <c r="Q2119" s="158"/>
      <c r="R2119" s="215"/>
      <c r="S2119" s="159"/>
      <c r="T2119" s="225"/>
      <c r="U2119" s="485"/>
      <c r="V2119" s="310"/>
      <c r="W2119" s="310"/>
      <c r="X2119" s="310"/>
    </row>
    <row r="2120" spans="1:24" hidden="1" outlineLevel="2">
      <c r="A2120" s="162"/>
      <c r="B2120" s="163"/>
      <c r="C2120" s="236" t="s">
        <v>907</v>
      </c>
      <c r="D2120" s="361"/>
      <c r="E2120" s="164"/>
      <c r="F2120" s="165"/>
      <c r="G2120" s="197"/>
      <c r="H2120" s="157"/>
      <c r="I2120" s="157"/>
      <c r="J2120" s="157"/>
      <c r="K2120" s="157"/>
      <c r="L2120" s="155"/>
      <c r="M2120" s="157"/>
      <c r="N2120" s="156"/>
      <c r="O2120" s="156"/>
      <c r="P2120" s="259"/>
      <c r="Q2120" s="158"/>
      <c r="R2120" s="215"/>
      <c r="S2120" s="159"/>
      <c r="T2120" s="225"/>
      <c r="U2120" s="485" t="s">
        <v>900</v>
      </c>
      <c r="V2120" s="310"/>
      <c r="W2120" s="310"/>
      <c r="X2120" s="310"/>
    </row>
    <row r="2121" spans="1:24" hidden="1" outlineLevel="2">
      <c r="A2121" s="162"/>
      <c r="B2121" s="163"/>
      <c r="C2121" s="236" t="s">
        <v>901</v>
      </c>
      <c r="D2121" s="361"/>
      <c r="E2121" s="164"/>
      <c r="F2121" s="165"/>
      <c r="G2121" s="197"/>
      <c r="H2121" s="157"/>
      <c r="I2121" s="157"/>
      <c r="J2121" s="157"/>
      <c r="K2121" s="157"/>
      <c r="L2121" s="155"/>
      <c r="M2121" s="155"/>
      <c r="N2121" s="259"/>
      <c r="O2121" s="156"/>
      <c r="P2121" s="259"/>
      <c r="Q2121" s="158"/>
      <c r="R2121" s="215"/>
      <c r="S2121" s="159"/>
      <c r="T2121" s="225"/>
      <c r="U2121" s="485"/>
      <c r="V2121" s="310"/>
      <c r="W2121" s="310"/>
      <c r="X2121" s="310"/>
    </row>
    <row r="2122" spans="1:24" hidden="1" outlineLevel="1" collapsed="1">
      <c r="A2122" s="162"/>
      <c r="B2122" s="163"/>
      <c r="C2122" s="151" t="s">
        <v>906</v>
      </c>
      <c r="D2122" s="360"/>
      <c r="E2122" s="164"/>
      <c r="F2122" s="165"/>
      <c r="G2122" s="303"/>
      <c r="H2122" s="304"/>
      <c r="I2122" s="304"/>
      <c r="J2122" s="304"/>
      <c r="K2122" s="304"/>
      <c r="L2122" s="196"/>
      <c r="M2122" s="406">
        <f>SUM(M2112:M2120)</f>
        <v>800000</v>
      </c>
      <c r="N2122" s="250">
        <f>M2122*1.23</f>
        <v>984000</v>
      </c>
      <c r="O2122" s="405">
        <f>SUM(O2112:O2120)</f>
        <v>815000</v>
      </c>
      <c r="P2122" s="248">
        <f t="shared" ref="P2122" si="169">O2122*1.46</f>
        <v>1189900</v>
      </c>
      <c r="Q2122" s="305"/>
      <c r="R2122" s="520"/>
      <c r="S2122" s="159">
        <f t="shared" si="165"/>
        <v>2173900</v>
      </c>
      <c r="T2122" s="308"/>
      <c r="U2122" s="485" t="s">
        <v>1159</v>
      </c>
      <c r="V2122" s="310"/>
      <c r="W2122" s="310"/>
      <c r="X2122" s="310"/>
    </row>
    <row r="2123" spans="1:24" hidden="1" outlineLevel="2">
      <c r="A2123" s="229"/>
      <c r="B2123" s="151" t="s">
        <v>908</v>
      </c>
      <c r="C2123" s="163"/>
      <c r="D2123" s="166"/>
      <c r="E2123" s="164"/>
      <c r="F2123" s="165"/>
      <c r="G2123" s="197"/>
      <c r="H2123" s="157"/>
      <c r="I2123" s="157"/>
      <c r="J2123" s="157"/>
      <c r="K2123" s="158"/>
      <c r="L2123" s="155"/>
      <c r="M2123" s="156"/>
      <c r="N2123" s="156"/>
      <c r="O2123" s="157"/>
      <c r="P2123" s="158"/>
      <c r="Q2123" s="158"/>
      <c r="R2123" s="215"/>
      <c r="S2123" s="159"/>
      <c r="T2123" s="225"/>
      <c r="U2123" s="485"/>
      <c r="V2123" s="310"/>
      <c r="W2123" s="310"/>
      <c r="X2123" s="310"/>
    </row>
    <row r="2124" spans="1:24" hidden="1" outlineLevel="2">
      <c r="A2124" s="162"/>
      <c r="B2124" s="163"/>
      <c r="C2124" s="236" t="s">
        <v>379</v>
      </c>
      <c r="D2124" s="361"/>
      <c r="E2124" s="164"/>
      <c r="F2124" s="165"/>
      <c r="G2124" s="197">
        <f>CIP!$AR$27</f>
        <v>0</v>
      </c>
      <c r="H2124" s="157"/>
      <c r="I2124" s="157"/>
      <c r="J2124" s="157"/>
      <c r="K2124" s="158"/>
      <c r="L2124" s="155">
        <f>SUM(G2124:K2124)</f>
        <v>0</v>
      </c>
      <c r="M2124" s="156"/>
      <c r="N2124" s="156"/>
      <c r="O2124" s="157"/>
      <c r="P2124" s="158"/>
      <c r="Q2124" s="158"/>
      <c r="R2124" s="215"/>
      <c r="S2124" s="159">
        <f t="shared" si="165"/>
        <v>0</v>
      </c>
      <c r="T2124" s="225"/>
      <c r="U2124" s="485" t="s">
        <v>909</v>
      </c>
      <c r="V2124" s="310"/>
      <c r="W2124" s="310"/>
      <c r="X2124" s="310"/>
    </row>
    <row r="2125" spans="1:24" hidden="1" outlineLevel="1" collapsed="1">
      <c r="A2125" s="162"/>
      <c r="B2125" s="163"/>
      <c r="C2125" s="151" t="s">
        <v>908</v>
      </c>
      <c r="D2125" s="360"/>
      <c r="E2125" s="164"/>
      <c r="F2125" s="165"/>
      <c r="G2125" s="249">
        <f>SUM(G2124)</f>
        <v>0</v>
      </c>
      <c r="H2125" s="244"/>
      <c r="I2125" s="244"/>
      <c r="J2125" s="244"/>
      <c r="K2125" s="248"/>
      <c r="L2125" s="159">
        <f>SUM(G2125:K2125)</f>
        <v>0</v>
      </c>
      <c r="M2125" s="156"/>
      <c r="N2125" s="156"/>
      <c r="O2125" s="157"/>
      <c r="P2125" s="158"/>
      <c r="Q2125" s="158"/>
      <c r="R2125" s="215"/>
      <c r="S2125" s="159">
        <f t="shared" si="165"/>
        <v>0</v>
      </c>
      <c r="T2125" s="225"/>
      <c r="U2125" s="485" t="s">
        <v>1160</v>
      </c>
      <c r="V2125" s="310"/>
      <c r="W2125" s="310"/>
      <c r="X2125" s="310"/>
    </row>
    <row r="2126" spans="1:24" hidden="1" outlineLevel="2">
      <c r="A2126" s="229"/>
      <c r="B2126" s="151" t="s">
        <v>910</v>
      </c>
      <c r="C2126" s="163"/>
      <c r="D2126" s="166"/>
      <c r="E2126" s="164"/>
      <c r="F2126" s="165"/>
      <c r="G2126" s="197"/>
      <c r="H2126" s="157"/>
      <c r="I2126" s="157"/>
      <c r="J2126" s="157"/>
      <c r="K2126" s="158"/>
      <c r="L2126" s="155"/>
      <c r="M2126" s="156"/>
      <c r="N2126" s="156"/>
      <c r="O2126" s="157"/>
      <c r="P2126" s="158"/>
      <c r="Q2126" s="158"/>
      <c r="R2126" s="215"/>
      <c r="S2126" s="159"/>
      <c r="T2126" s="225"/>
      <c r="U2126" s="485"/>
      <c r="V2126" s="310"/>
      <c r="W2126" s="310"/>
      <c r="X2126" s="310"/>
    </row>
    <row r="2127" spans="1:24" hidden="1" outlineLevel="2">
      <c r="A2127" s="162"/>
      <c r="B2127" s="163"/>
      <c r="C2127" s="236" t="s">
        <v>891</v>
      </c>
      <c r="D2127" s="361"/>
      <c r="E2127" s="164"/>
      <c r="F2127" s="165"/>
      <c r="G2127" s="197"/>
      <c r="H2127" s="157"/>
      <c r="I2127" s="157"/>
      <c r="J2127" s="157"/>
      <c r="K2127" s="158"/>
      <c r="L2127" s="155"/>
      <c r="M2127" s="156"/>
      <c r="N2127" s="156"/>
      <c r="O2127" s="157"/>
      <c r="P2127" s="158"/>
      <c r="Q2127" s="158"/>
      <c r="R2127" s="215"/>
      <c r="S2127" s="159"/>
      <c r="T2127" s="225"/>
      <c r="U2127" s="485" t="s">
        <v>911</v>
      </c>
      <c r="V2127" s="310"/>
      <c r="W2127" s="310"/>
      <c r="X2127" s="310"/>
    </row>
    <row r="2128" spans="1:24" hidden="1" outlineLevel="2">
      <c r="A2128" s="162"/>
      <c r="B2128" s="163"/>
      <c r="C2128" s="236" t="s">
        <v>893</v>
      </c>
      <c r="D2128" s="361"/>
      <c r="E2128" s="164"/>
      <c r="F2128" s="165"/>
      <c r="G2128" s="197"/>
      <c r="H2128" s="157"/>
      <c r="I2128" s="157"/>
      <c r="J2128" s="157"/>
      <c r="K2128" s="158"/>
      <c r="L2128" s="155"/>
      <c r="M2128" s="156"/>
      <c r="N2128" s="156"/>
      <c r="O2128" s="157"/>
      <c r="P2128" s="158"/>
      <c r="Q2128" s="158"/>
      <c r="R2128" s="215"/>
      <c r="S2128" s="159"/>
      <c r="T2128" s="225"/>
      <c r="U2128" s="485" t="s">
        <v>912</v>
      </c>
      <c r="V2128" s="310"/>
      <c r="W2128" s="310"/>
      <c r="X2128" s="310"/>
    </row>
    <row r="2129" spans="1:24" hidden="1" outlineLevel="2">
      <c r="A2129" s="162"/>
      <c r="B2129" s="163"/>
      <c r="C2129" s="236" t="s">
        <v>894</v>
      </c>
      <c r="D2129" s="361"/>
      <c r="E2129" s="164"/>
      <c r="F2129" s="165"/>
      <c r="G2129" s="197"/>
      <c r="H2129" s="157"/>
      <c r="I2129" s="157"/>
      <c r="J2129" s="157"/>
      <c r="K2129" s="158"/>
      <c r="L2129" s="155"/>
      <c r="M2129" s="156"/>
      <c r="N2129" s="156"/>
      <c r="O2129" s="157"/>
      <c r="P2129" s="158"/>
      <c r="Q2129" s="158"/>
      <c r="R2129" s="215"/>
      <c r="S2129" s="159"/>
      <c r="T2129" s="225"/>
      <c r="U2129" s="485" t="s">
        <v>913</v>
      </c>
      <c r="V2129" s="310"/>
      <c r="W2129" s="310"/>
      <c r="X2129" s="310"/>
    </row>
    <row r="2130" spans="1:24" hidden="1" outlineLevel="2">
      <c r="A2130" s="162"/>
      <c r="B2130" s="163"/>
      <c r="C2130" s="236" t="s">
        <v>895</v>
      </c>
      <c r="D2130" s="361"/>
      <c r="E2130" s="164"/>
      <c r="F2130" s="165"/>
      <c r="G2130" s="197"/>
      <c r="H2130" s="157"/>
      <c r="I2130" s="157"/>
      <c r="J2130" s="157"/>
      <c r="K2130" s="158"/>
      <c r="L2130" s="155"/>
      <c r="M2130" s="156"/>
      <c r="N2130" s="156"/>
      <c r="O2130" s="157"/>
      <c r="P2130" s="158"/>
      <c r="Q2130" s="158"/>
      <c r="R2130" s="215"/>
      <c r="S2130" s="159"/>
      <c r="T2130" s="225"/>
      <c r="U2130" s="485"/>
      <c r="V2130" s="310"/>
      <c r="W2130" s="310"/>
      <c r="X2130" s="310"/>
    </row>
    <row r="2131" spans="1:24" hidden="1" outlineLevel="2">
      <c r="A2131" s="162"/>
      <c r="B2131" s="163"/>
      <c r="C2131" s="236" t="s">
        <v>896</v>
      </c>
      <c r="D2131" s="361"/>
      <c r="E2131" s="164"/>
      <c r="F2131" s="165"/>
      <c r="G2131" s="197"/>
      <c r="H2131" s="157"/>
      <c r="I2131" s="157"/>
      <c r="J2131" s="157"/>
      <c r="K2131" s="158"/>
      <c r="L2131" s="155"/>
      <c r="M2131" s="156"/>
      <c r="N2131" s="156"/>
      <c r="O2131" s="157"/>
      <c r="P2131" s="158"/>
      <c r="Q2131" s="158"/>
      <c r="R2131" s="215"/>
      <c r="S2131" s="159"/>
      <c r="T2131" s="225"/>
      <c r="U2131" s="485"/>
      <c r="V2131" s="310"/>
      <c r="W2131" s="310"/>
      <c r="X2131" s="310"/>
    </row>
    <row r="2132" spans="1:24" hidden="1" outlineLevel="2">
      <c r="A2132" s="162"/>
      <c r="B2132" s="163"/>
      <c r="C2132" s="236" t="s">
        <v>897</v>
      </c>
      <c r="D2132" s="361"/>
      <c r="E2132" s="164"/>
      <c r="F2132" s="165"/>
      <c r="G2132" s="197"/>
      <c r="H2132" s="157"/>
      <c r="I2132" s="157"/>
      <c r="J2132" s="157"/>
      <c r="K2132" s="158"/>
      <c r="L2132" s="155"/>
      <c r="M2132" s="156"/>
      <c r="N2132" s="156"/>
      <c r="O2132" s="157"/>
      <c r="P2132" s="158"/>
      <c r="Q2132" s="158"/>
      <c r="R2132" s="215"/>
      <c r="S2132" s="159"/>
      <c r="T2132" s="225"/>
      <c r="U2132" s="485"/>
      <c r="V2132" s="310"/>
      <c r="W2132" s="310"/>
      <c r="X2132" s="310"/>
    </row>
    <row r="2133" spans="1:24" hidden="1" outlineLevel="2">
      <c r="A2133" s="162"/>
      <c r="B2133" s="163"/>
      <c r="C2133" s="236" t="s">
        <v>898</v>
      </c>
      <c r="D2133" s="361"/>
      <c r="E2133" s="164"/>
      <c r="F2133" s="165"/>
      <c r="G2133" s="197"/>
      <c r="H2133" s="157"/>
      <c r="I2133" s="157"/>
      <c r="J2133" s="157"/>
      <c r="K2133" s="158"/>
      <c r="L2133" s="155"/>
      <c r="M2133" s="156"/>
      <c r="N2133" s="156"/>
      <c r="O2133" s="157"/>
      <c r="P2133" s="158"/>
      <c r="Q2133" s="158"/>
      <c r="R2133" s="215"/>
      <c r="S2133" s="159"/>
      <c r="T2133" s="225"/>
      <c r="U2133" s="485"/>
      <c r="V2133" s="310"/>
      <c r="W2133" s="310"/>
      <c r="X2133" s="310"/>
    </row>
    <row r="2134" spans="1:24" hidden="1" outlineLevel="2">
      <c r="A2134" s="162"/>
      <c r="B2134" s="163"/>
      <c r="C2134" s="236" t="s">
        <v>379</v>
      </c>
      <c r="D2134" s="361"/>
      <c r="E2134" s="164"/>
      <c r="F2134" s="165"/>
      <c r="G2134" s="197"/>
      <c r="H2134" s="157"/>
      <c r="I2134" s="157"/>
      <c r="J2134" s="157"/>
      <c r="K2134" s="158"/>
      <c r="L2134" s="155"/>
      <c r="M2134" s="156"/>
      <c r="N2134" s="156"/>
      <c r="O2134" s="157"/>
      <c r="P2134" s="158"/>
      <c r="Q2134" s="158"/>
      <c r="R2134" s="215"/>
      <c r="S2134" s="159"/>
      <c r="T2134" s="225"/>
      <c r="U2134" s="485"/>
      <c r="V2134" s="310"/>
      <c r="W2134" s="310"/>
      <c r="X2134" s="310"/>
    </row>
    <row r="2135" spans="1:24" hidden="1" outlineLevel="1" collapsed="1">
      <c r="A2135" s="162"/>
      <c r="B2135" s="163"/>
      <c r="C2135" s="151" t="s">
        <v>910</v>
      </c>
      <c r="D2135" s="360"/>
      <c r="E2135" s="164"/>
      <c r="F2135" s="165"/>
      <c r="G2135" s="205"/>
      <c r="H2135" s="157"/>
      <c r="I2135" s="157"/>
      <c r="J2135" s="157"/>
      <c r="K2135" s="158"/>
      <c r="L2135" s="155"/>
      <c r="M2135" s="156"/>
      <c r="N2135" s="156"/>
      <c r="O2135" s="157"/>
      <c r="P2135" s="158"/>
      <c r="Q2135" s="158"/>
      <c r="R2135" s="215"/>
      <c r="S2135" s="159"/>
      <c r="T2135" s="225"/>
      <c r="U2135" s="485" t="s">
        <v>914</v>
      </c>
      <c r="V2135" s="310"/>
      <c r="W2135" s="310"/>
      <c r="X2135" s="310"/>
    </row>
    <row r="2136" spans="1:24" hidden="1" outlineLevel="2">
      <c r="A2136" s="229"/>
      <c r="B2136" s="151" t="s">
        <v>915</v>
      </c>
      <c r="C2136" s="163"/>
      <c r="D2136" s="166"/>
      <c r="E2136" s="164"/>
      <c r="F2136" s="165"/>
      <c r="G2136" s="197"/>
      <c r="H2136" s="157"/>
      <c r="I2136" s="157"/>
      <c r="J2136" s="157"/>
      <c r="K2136" s="158"/>
      <c r="L2136" s="155"/>
      <c r="M2136" s="156"/>
      <c r="N2136" s="156"/>
      <c r="O2136" s="157"/>
      <c r="P2136" s="158"/>
      <c r="Q2136" s="158"/>
      <c r="R2136" s="215"/>
      <c r="S2136" s="159"/>
      <c r="T2136" s="225"/>
      <c r="U2136" s="485" t="s">
        <v>916</v>
      </c>
      <c r="V2136" s="310"/>
      <c r="W2136" s="310"/>
      <c r="X2136" s="310"/>
    </row>
    <row r="2137" spans="1:24" hidden="1" outlineLevel="2">
      <c r="A2137" s="162"/>
      <c r="B2137" s="163"/>
      <c r="C2137" s="236" t="s">
        <v>891</v>
      </c>
      <c r="D2137" s="361"/>
      <c r="E2137" s="164"/>
      <c r="F2137" s="165"/>
      <c r="G2137" s="197"/>
      <c r="H2137" s="157"/>
      <c r="I2137" s="157"/>
      <c r="J2137" s="157"/>
      <c r="K2137" s="158"/>
      <c r="L2137" s="155"/>
      <c r="M2137" s="156"/>
      <c r="N2137" s="156"/>
      <c r="O2137" s="157"/>
      <c r="P2137" s="158"/>
      <c r="Q2137" s="158"/>
      <c r="R2137" s="215"/>
      <c r="S2137" s="159"/>
      <c r="T2137" s="225"/>
      <c r="U2137" s="485"/>
      <c r="V2137" s="310"/>
      <c r="W2137" s="310"/>
      <c r="X2137" s="310"/>
    </row>
    <row r="2138" spans="1:24" hidden="1" outlineLevel="2">
      <c r="A2138" s="162"/>
      <c r="B2138" s="163"/>
      <c r="C2138" s="236" t="s">
        <v>893</v>
      </c>
      <c r="D2138" s="361"/>
      <c r="E2138" s="164"/>
      <c r="F2138" s="165"/>
      <c r="G2138" s="197"/>
      <c r="H2138" s="157"/>
      <c r="I2138" s="157"/>
      <c r="J2138" s="157"/>
      <c r="K2138" s="158"/>
      <c r="L2138" s="155"/>
      <c r="M2138" s="156"/>
      <c r="N2138" s="156"/>
      <c r="O2138" s="157"/>
      <c r="P2138" s="158"/>
      <c r="Q2138" s="158"/>
      <c r="R2138" s="215"/>
      <c r="S2138" s="159"/>
      <c r="T2138" s="225"/>
      <c r="U2138" s="485"/>
      <c r="V2138" s="310"/>
      <c r="W2138" s="310"/>
      <c r="X2138" s="310"/>
    </row>
    <row r="2139" spans="1:24" hidden="1" outlineLevel="2">
      <c r="A2139" s="162"/>
      <c r="B2139" s="163"/>
      <c r="C2139" s="236" t="s">
        <v>894</v>
      </c>
      <c r="D2139" s="361"/>
      <c r="E2139" s="164"/>
      <c r="F2139" s="165"/>
      <c r="G2139" s="197"/>
      <c r="H2139" s="157"/>
      <c r="I2139" s="157"/>
      <c r="J2139" s="157"/>
      <c r="K2139" s="158"/>
      <c r="L2139" s="155"/>
      <c r="M2139" s="156"/>
      <c r="N2139" s="156"/>
      <c r="O2139" s="157"/>
      <c r="P2139" s="158"/>
      <c r="Q2139" s="158"/>
      <c r="R2139" s="215"/>
      <c r="S2139" s="159"/>
      <c r="T2139" s="225"/>
      <c r="U2139" s="485"/>
      <c r="V2139" s="310"/>
      <c r="W2139" s="310"/>
      <c r="X2139" s="310"/>
    </row>
    <row r="2140" spans="1:24" hidden="1" outlineLevel="2">
      <c r="A2140" s="162"/>
      <c r="B2140" s="163"/>
      <c r="C2140" s="236" t="s">
        <v>895</v>
      </c>
      <c r="D2140" s="361"/>
      <c r="E2140" s="164"/>
      <c r="F2140" s="165"/>
      <c r="G2140" s="197"/>
      <c r="H2140" s="157"/>
      <c r="I2140" s="157"/>
      <c r="J2140" s="157"/>
      <c r="K2140" s="158"/>
      <c r="L2140" s="155"/>
      <c r="M2140" s="156"/>
      <c r="N2140" s="156"/>
      <c r="O2140" s="157"/>
      <c r="P2140" s="158"/>
      <c r="Q2140" s="158"/>
      <c r="R2140" s="215"/>
      <c r="S2140" s="159"/>
      <c r="T2140" s="225"/>
      <c r="U2140" s="485"/>
      <c r="V2140" s="310"/>
      <c r="W2140" s="310"/>
      <c r="X2140" s="310"/>
    </row>
    <row r="2141" spans="1:24" hidden="1" outlineLevel="2">
      <c r="A2141" s="162"/>
      <c r="B2141" s="163"/>
      <c r="C2141" s="236" t="s">
        <v>896</v>
      </c>
      <c r="D2141" s="361"/>
      <c r="E2141" s="164"/>
      <c r="F2141" s="165"/>
      <c r="G2141" s="197"/>
      <c r="H2141" s="157"/>
      <c r="I2141" s="157"/>
      <c r="J2141" s="157"/>
      <c r="K2141" s="158"/>
      <c r="L2141" s="155"/>
      <c r="M2141" s="156"/>
      <c r="N2141" s="156"/>
      <c r="O2141" s="157"/>
      <c r="P2141" s="158"/>
      <c r="Q2141" s="158"/>
      <c r="R2141" s="215"/>
      <c r="S2141" s="159"/>
      <c r="T2141" s="225"/>
      <c r="U2141" s="485"/>
      <c r="V2141" s="310"/>
      <c r="W2141" s="310"/>
      <c r="X2141" s="310"/>
    </row>
    <row r="2142" spans="1:24" hidden="1" outlineLevel="2">
      <c r="A2142" s="162"/>
      <c r="B2142" s="163"/>
      <c r="C2142" s="236" t="s">
        <v>897</v>
      </c>
      <c r="D2142" s="361"/>
      <c r="E2142" s="164"/>
      <c r="F2142" s="165"/>
      <c r="G2142" s="197"/>
      <c r="H2142" s="157"/>
      <c r="I2142" s="157"/>
      <c r="J2142" s="157"/>
      <c r="K2142" s="158"/>
      <c r="L2142" s="155"/>
      <c r="M2142" s="156"/>
      <c r="N2142" s="156"/>
      <c r="O2142" s="157"/>
      <c r="P2142" s="158"/>
      <c r="Q2142" s="158"/>
      <c r="R2142" s="215"/>
      <c r="S2142" s="159"/>
      <c r="T2142" s="225"/>
      <c r="U2142" s="485"/>
      <c r="V2142" s="310"/>
      <c r="W2142" s="310"/>
      <c r="X2142" s="310"/>
    </row>
    <row r="2143" spans="1:24" hidden="1" outlineLevel="2">
      <c r="A2143" s="162"/>
      <c r="B2143" s="163"/>
      <c r="C2143" s="236" t="s">
        <v>898</v>
      </c>
      <c r="D2143" s="361"/>
      <c r="E2143" s="164"/>
      <c r="F2143" s="165"/>
      <c r="G2143" s="197"/>
      <c r="H2143" s="157"/>
      <c r="I2143" s="157"/>
      <c r="J2143" s="157"/>
      <c r="K2143" s="158"/>
      <c r="L2143" s="155"/>
      <c r="M2143" s="156"/>
      <c r="N2143" s="156"/>
      <c r="O2143" s="157"/>
      <c r="P2143" s="158"/>
      <c r="Q2143" s="158"/>
      <c r="R2143" s="215"/>
      <c r="S2143" s="159"/>
      <c r="T2143" s="225"/>
      <c r="U2143" s="485"/>
      <c r="V2143" s="310"/>
      <c r="W2143" s="310"/>
      <c r="X2143" s="310"/>
    </row>
    <row r="2144" spans="1:24" hidden="1" outlineLevel="2">
      <c r="A2144" s="162"/>
      <c r="B2144" s="163"/>
      <c r="C2144" s="236" t="s">
        <v>379</v>
      </c>
      <c r="D2144" s="361"/>
      <c r="E2144" s="164"/>
      <c r="F2144" s="165"/>
      <c r="G2144" s="197"/>
      <c r="H2144" s="157"/>
      <c r="I2144" s="157"/>
      <c r="J2144" s="157"/>
      <c r="K2144" s="158"/>
      <c r="L2144" s="155"/>
      <c r="M2144" s="156"/>
      <c r="N2144" s="156"/>
      <c r="O2144" s="157"/>
      <c r="P2144" s="158"/>
      <c r="Q2144" s="158"/>
      <c r="R2144" s="215"/>
      <c r="S2144" s="159"/>
      <c r="T2144" s="225"/>
      <c r="U2144" s="485"/>
      <c r="V2144" s="310"/>
      <c r="W2144" s="310"/>
      <c r="X2144" s="310"/>
    </row>
    <row r="2145" spans="1:24" hidden="1" outlineLevel="1" collapsed="1">
      <c r="A2145" s="162"/>
      <c r="B2145" s="163"/>
      <c r="C2145" s="151" t="s">
        <v>915</v>
      </c>
      <c r="D2145" s="360"/>
      <c r="E2145" s="164"/>
      <c r="F2145" s="165"/>
      <c r="G2145" s="197"/>
      <c r="H2145" s="157"/>
      <c r="I2145" s="157"/>
      <c r="J2145" s="157"/>
      <c r="K2145" s="158"/>
      <c r="L2145" s="155"/>
      <c r="M2145" s="156"/>
      <c r="N2145" s="156"/>
      <c r="O2145" s="157"/>
      <c r="P2145" s="158"/>
      <c r="Q2145" s="158"/>
      <c r="R2145" s="215"/>
      <c r="S2145" s="159"/>
      <c r="T2145" s="225"/>
      <c r="U2145" s="485" t="s">
        <v>916</v>
      </c>
      <c r="V2145" s="310"/>
      <c r="W2145" s="310"/>
      <c r="X2145" s="310"/>
    </row>
    <row r="2146" spans="1:24" hidden="1" outlineLevel="2">
      <c r="A2146" s="162"/>
      <c r="B2146" s="151" t="s">
        <v>917</v>
      </c>
      <c r="C2146" s="163"/>
      <c r="D2146" s="166"/>
      <c r="E2146" s="164"/>
      <c r="F2146" s="165"/>
      <c r="G2146" s="197"/>
      <c r="H2146" s="157"/>
      <c r="I2146" s="157"/>
      <c r="J2146" s="157"/>
      <c r="K2146" s="158"/>
      <c r="L2146" s="155"/>
      <c r="M2146" s="156"/>
      <c r="N2146" s="156"/>
      <c r="O2146" s="157"/>
      <c r="P2146" s="158"/>
      <c r="Q2146" s="158"/>
      <c r="R2146" s="215"/>
      <c r="S2146" s="159"/>
      <c r="T2146" s="225"/>
      <c r="U2146" s="485"/>
      <c r="V2146" s="310"/>
      <c r="W2146" s="310"/>
      <c r="X2146" s="310"/>
    </row>
    <row r="2147" spans="1:24" hidden="1" outlineLevel="2">
      <c r="A2147" s="162"/>
      <c r="B2147" s="163"/>
      <c r="C2147" s="236" t="s">
        <v>891</v>
      </c>
      <c r="D2147" s="361"/>
      <c r="E2147" s="164"/>
      <c r="F2147" s="165"/>
      <c r="G2147" s="197"/>
      <c r="H2147" s="157"/>
      <c r="I2147" s="157"/>
      <c r="J2147" s="157"/>
      <c r="K2147" s="158"/>
      <c r="L2147" s="155"/>
      <c r="M2147" s="156"/>
      <c r="N2147" s="156"/>
      <c r="O2147" s="157"/>
      <c r="P2147" s="158"/>
      <c r="Q2147" s="158"/>
      <c r="R2147" s="215"/>
      <c r="S2147" s="159"/>
      <c r="T2147" s="225"/>
      <c r="U2147" s="485"/>
      <c r="V2147" s="310"/>
      <c r="W2147" s="310"/>
      <c r="X2147" s="310"/>
    </row>
    <row r="2148" spans="1:24" hidden="1" outlineLevel="2">
      <c r="A2148" s="162"/>
      <c r="B2148" s="163"/>
      <c r="C2148" s="236" t="s">
        <v>893</v>
      </c>
      <c r="D2148" s="361"/>
      <c r="E2148" s="164"/>
      <c r="F2148" s="165"/>
      <c r="G2148" s="197"/>
      <c r="H2148" s="157"/>
      <c r="I2148" s="157"/>
      <c r="J2148" s="157"/>
      <c r="K2148" s="158"/>
      <c r="L2148" s="155"/>
      <c r="M2148" s="156"/>
      <c r="N2148" s="156"/>
      <c r="O2148" s="157"/>
      <c r="P2148" s="158"/>
      <c r="Q2148" s="158"/>
      <c r="R2148" s="215"/>
      <c r="S2148" s="159"/>
      <c r="T2148" s="225"/>
      <c r="U2148" s="485"/>
      <c r="V2148" s="310"/>
      <c r="W2148" s="310"/>
      <c r="X2148" s="310"/>
    </row>
    <row r="2149" spans="1:24" hidden="1" outlineLevel="2">
      <c r="A2149" s="162"/>
      <c r="B2149" s="163"/>
      <c r="C2149" s="236" t="s">
        <v>894</v>
      </c>
      <c r="D2149" s="361"/>
      <c r="E2149" s="164"/>
      <c r="F2149" s="165"/>
      <c r="G2149" s="197"/>
      <c r="H2149" s="157"/>
      <c r="I2149" s="157"/>
      <c r="J2149" s="157"/>
      <c r="K2149" s="158"/>
      <c r="L2149" s="155"/>
      <c r="M2149" s="156"/>
      <c r="N2149" s="156"/>
      <c r="O2149" s="157"/>
      <c r="P2149" s="158"/>
      <c r="Q2149" s="158"/>
      <c r="R2149" s="215"/>
      <c r="S2149" s="159"/>
      <c r="T2149" s="225"/>
      <c r="U2149" s="485"/>
      <c r="V2149" s="310"/>
      <c r="W2149" s="310"/>
      <c r="X2149" s="310"/>
    </row>
    <row r="2150" spans="1:24" hidden="1" outlineLevel="2">
      <c r="A2150" s="162"/>
      <c r="B2150" s="163"/>
      <c r="C2150" s="236" t="s">
        <v>895</v>
      </c>
      <c r="D2150" s="361"/>
      <c r="E2150" s="164"/>
      <c r="F2150" s="165"/>
      <c r="G2150" s="197"/>
      <c r="H2150" s="157"/>
      <c r="I2150" s="157"/>
      <c r="J2150" s="157"/>
      <c r="K2150" s="158"/>
      <c r="L2150" s="155"/>
      <c r="M2150" s="156"/>
      <c r="N2150" s="156"/>
      <c r="O2150" s="157"/>
      <c r="P2150" s="158"/>
      <c r="Q2150" s="158"/>
      <c r="R2150" s="215"/>
      <c r="S2150" s="159"/>
      <c r="T2150" s="225"/>
      <c r="U2150" s="485"/>
      <c r="V2150" s="310"/>
      <c r="W2150" s="310"/>
      <c r="X2150" s="310"/>
    </row>
    <row r="2151" spans="1:24" hidden="1" outlineLevel="2">
      <c r="A2151" s="162"/>
      <c r="B2151" s="163"/>
      <c r="C2151" s="236" t="s">
        <v>896</v>
      </c>
      <c r="D2151" s="361"/>
      <c r="E2151" s="164"/>
      <c r="F2151" s="165"/>
      <c r="G2151" s="197"/>
      <c r="H2151" s="157"/>
      <c r="I2151" s="157"/>
      <c r="J2151" s="157"/>
      <c r="K2151" s="158"/>
      <c r="L2151" s="155"/>
      <c r="M2151" s="156">
        <v>150000</v>
      </c>
      <c r="N2151" s="250">
        <f>M2151*1.23</f>
        <v>184500</v>
      </c>
      <c r="O2151" s="157"/>
      <c r="P2151" s="158"/>
      <c r="Q2151" s="158"/>
      <c r="R2151" s="215"/>
      <c r="S2151" s="159">
        <f t="shared" si="165"/>
        <v>184500</v>
      </c>
      <c r="T2151" s="225"/>
      <c r="U2151" s="485"/>
      <c r="V2151" s="310"/>
      <c r="W2151" s="310"/>
      <c r="X2151" s="310"/>
    </row>
    <row r="2152" spans="1:24" hidden="1" outlineLevel="2">
      <c r="A2152" s="162"/>
      <c r="B2152" s="163"/>
      <c r="C2152" s="236" t="s">
        <v>897</v>
      </c>
      <c r="D2152" s="361"/>
      <c r="E2152" s="164"/>
      <c r="F2152" s="165"/>
      <c r="G2152" s="197"/>
      <c r="H2152" s="157"/>
      <c r="I2152" s="157"/>
      <c r="J2152" s="157"/>
      <c r="K2152" s="158"/>
      <c r="L2152" s="155"/>
      <c r="M2152" s="156"/>
      <c r="N2152" s="156"/>
      <c r="O2152" s="157"/>
      <c r="P2152" s="158"/>
      <c r="Q2152" s="158"/>
      <c r="R2152" s="215"/>
      <c r="S2152" s="159">
        <f t="shared" si="165"/>
        <v>0</v>
      </c>
      <c r="T2152" s="225"/>
      <c r="U2152" s="485"/>
      <c r="V2152" s="310"/>
      <c r="W2152" s="310"/>
      <c r="X2152" s="310"/>
    </row>
    <row r="2153" spans="1:24" hidden="1" outlineLevel="2">
      <c r="A2153" s="162"/>
      <c r="B2153" s="163"/>
      <c r="C2153" s="236" t="s">
        <v>898</v>
      </c>
      <c r="D2153" s="361"/>
      <c r="E2153" s="164"/>
      <c r="F2153" s="165"/>
      <c r="G2153" s="197"/>
      <c r="H2153" s="157"/>
      <c r="I2153" s="157"/>
      <c r="J2153" s="157"/>
      <c r="K2153" s="158"/>
      <c r="L2153" s="155"/>
      <c r="M2153" s="156"/>
      <c r="N2153" s="156"/>
      <c r="O2153" s="157"/>
      <c r="P2153" s="158"/>
      <c r="Q2153" s="158"/>
      <c r="R2153" s="215"/>
      <c r="S2153" s="159">
        <f t="shared" si="165"/>
        <v>0</v>
      </c>
      <c r="T2153" s="225"/>
      <c r="U2153" s="485"/>
      <c r="V2153" s="310"/>
      <c r="W2153" s="310"/>
      <c r="X2153" s="310"/>
    </row>
    <row r="2154" spans="1:24" hidden="1" outlineLevel="2">
      <c r="A2154" s="162"/>
      <c r="B2154" s="163"/>
      <c r="C2154" s="236" t="s">
        <v>379</v>
      </c>
      <c r="D2154" s="361"/>
      <c r="E2154" s="164"/>
      <c r="F2154" s="165"/>
      <c r="G2154" s="197"/>
      <c r="H2154" s="157"/>
      <c r="I2154" s="157"/>
      <c r="J2154" s="157"/>
      <c r="K2154" s="158"/>
      <c r="L2154" s="155"/>
      <c r="M2154" s="156"/>
      <c r="N2154" s="156"/>
      <c r="O2154" s="157"/>
      <c r="P2154" s="158"/>
      <c r="Q2154" s="158"/>
      <c r="R2154" s="215"/>
      <c r="S2154" s="159">
        <f t="shared" si="165"/>
        <v>0</v>
      </c>
      <c r="T2154" s="225"/>
      <c r="U2154" s="485"/>
      <c r="V2154" s="310"/>
      <c r="W2154" s="310"/>
      <c r="X2154" s="310"/>
    </row>
    <row r="2155" spans="1:24" hidden="1" outlineLevel="1" collapsed="1">
      <c r="A2155" s="162"/>
      <c r="B2155" s="163"/>
      <c r="C2155" s="151" t="s">
        <v>917</v>
      </c>
      <c r="D2155" s="360"/>
      <c r="E2155" s="164"/>
      <c r="F2155" s="165"/>
      <c r="G2155" s="197"/>
      <c r="H2155" s="157"/>
      <c r="I2155" s="157"/>
      <c r="J2155" s="157"/>
      <c r="K2155" s="158"/>
      <c r="L2155" s="155"/>
      <c r="M2155" s="250">
        <f>SUM(M2147:M2154)</f>
        <v>150000</v>
      </c>
      <c r="N2155" s="250">
        <f>M2155*1.23</f>
        <v>184500</v>
      </c>
      <c r="O2155" s="157"/>
      <c r="P2155" s="158"/>
      <c r="Q2155" s="158"/>
      <c r="R2155" s="215"/>
      <c r="S2155" s="159">
        <f t="shared" si="165"/>
        <v>184500</v>
      </c>
      <c r="T2155" s="225"/>
      <c r="U2155" s="485"/>
      <c r="V2155" s="310"/>
      <c r="W2155" s="310"/>
      <c r="X2155" s="310"/>
    </row>
    <row r="2156" spans="1:24" hidden="1" outlineLevel="2">
      <c r="A2156" s="309"/>
      <c r="B2156" s="151" t="s">
        <v>918</v>
      </c>
      <c r="C2156" s="163"/>
      <c r="D2156" s="166"/>
      <c r="E2156" s="164"/>
      <c r="F2156" s="165"/>
      <c r="G2156" s="197"/>
      <c r="H2156" s="157"/>
      <c r="I2156" s="157"/>
      <c r="J2156" s="157"/>
      <c r="K2156" s="158"/>
      <c r="L2156" s="155"/>
      <c r="M2156" s="156"/>
      <c r="N2156" s="156"/>
      <c r="O2156" s="157"/>
      <c r="P2156" s="158"/>
      <c r="Q2156" s="158"/>
      <c r="R2156" s="215"/>
      <c r="S2156" s="159"/>
      <c r="T2156" s="225"/>
      <c r="U2156" s="485"/>
      <c r="V2156" s="310"/>
      <c r="W2156" s="310"/>
      <c r="X2156" s="310"/>
    </row>
    <row r="2157" spans="1:24" hidden="1" outlineLevel="2">
      <c r="A2157" s="162"/>
      <c r="B2157" s="163"/>
      <c r="C2157" s="236" t="s">
        <v>891</v>
      </c>
      <c r="D2157" s="361"/>
      <c r="E2157" s="164"/>
      <c r="F2157" s="165"/>
      <c r="G2157" s="197"/>
      <c r="H2157" s="157"/>
      <c r="I2157" s="157"/>
      <c r="J2157" s="157"/>
      <c r="K2157" s="158"/>
      <c r="L2157" s="155"/>
      <c r="M2157" s="156">
        <v>150000</v>
      </c>
      <c r="N2157" s="250">
        <f>M2157*1.23</f>
        <v>184500</v>
      </c>
      <c r="O2157" s="157"/>
      <c r="P2157" s="158"/>
      <c r="Q2157" s="158"/>
      <c r="R2157" s="215"/>
      <c r="S2157" s="159">
        <f t="shared" si="165"/>
        <v>184500</v>
      </c>
      <c r="T2157" s="225"/>
      <c r="U2157" s="485" t="s">
        <v>1175</v>
      </c>
      <c r="V2157" s="310"/>
      <c r="W2157" s="310"/>
      <c r="X2157" s="310"/>
    </row>
    <row r="2158" spans="1:24" hidden="1" outlineLevel="2">
      <c r="A2158" s="162"/>
      <c r="B2158" s="163"/>
      <c r="C2158" s="236" t="s">
        <v>893</v>
      </c>
      <c r="D2158" s="361"/>
      <c r="E2158" s="164"/>
      <c r="F2158" s="165"/>
      <c r="G2158" s="197"/>
      <c r="H2158" s="157"/>
      <c r="I2158" s="157"/>
      <c r="J2158" s="157"/>
      <c r="K2158" s="158"/>
      <c r="L2158" s="155"/>
      <c r="M2158" s="156"/>
      <c r="N2158" s="156"/>
      <c r="O2158" s="157"/>
      <c r="P2158" s="158"/>
      <c r="Q2158" s="158"/>
      <c r="R2158" s="215"/>
      <c r="S2158" s="159"/>
      <c r="T2158" s="225"/>
      <c r="U2158" s="485"/>
      <c r="V2158" s="310"/>
      <c r="W2158" s="310"/>
      <c r="X2158" s="310"/>
    </row>
    <row r="2159" spans="1:24" hidden="1" outlineLevel="2">
      <c r="A2159" s="162"/>
      <c r="B2159" s="163"/>
      <c r="C2159" s="236" t="s">
        <v>894</v>
      </c>
      <c r="D2159" s="361"/>
      <c r="E2159" s="164"/>
      <c r="F2159" s="165"/>
      <c r="G2159" s="197"/>
      <c r="H2159" s="157"/>
      <c r="I2159" s="157"/>
      <c r="J2159" s="157"/>
      <c r="K2159" s="158"/>
      <c r="L2159" s="155"/>
      <c r="M2159" s="156"/>
      <c r="N2159" s="156"/>
      <c r="O2159" s="157"/>
      <c r="P2159" s="158"/>
      <c r="Q2159" s="158"/>
      <c r="R2159" s="215"/>
      <c r="S2159" s="159"/>
      <c r="T2159" s="225"/>
      <c r="U2159" s="485"/>
      <c r="V2159" s="310"/>
      <c r="W2159" s="310"/>
      <c r="X2159" s="310"/>
    </row>
    <row r="2160" spans="1:24" hidden="1" outlineLevel="2">
      <c r="A2160" s="162"/>
      <c r="B2160" s="163"/>
      <c r="C2160" s="236" t="s">
        <v>895</v>
      </c>
      <c r="D2160" s="361"/>
      <c r="E2160" s="164"/>
      <c r="F2160" s="165"/>
      <c r="G2160" s="197"/>
      <c r="H2160" s="157"/>
      <c r="I2160" s="157"/>
      <c r="J2160" s="157"/>
      <c r="K2160" s="158"/>
      <c r="L2160" s="155"/>
      <c r="M2160" s="156"/>
      <c r="N2160" s="156"/>
      <c r="O2160" s="157"/>
      <c r="P2160" s="158"/>
      <c r="Q2160" s="158"/>
      <c r="R2160" s="215"/>
      <c r="S2160" s="159"/>
      <c r="T2160" s="225"/>
      <c r="U2160" s="485"/>
      <c r="V2160" s="310"/>
      <c r="W2160" s="310"/>
      <c r="X2160" s="310"/>
    </row>
    <row r="2161" spans="1:24" hidden="1" outlineLevel="2">
      <c r="A2161" s="162"/>
      <c r="B2161" s="163"/>
      <c r="C2161" s="236" t="s">
        <v>896</v>
      </c>
      <c r="D2161" s="361"/>
      <c r="E2161" s="164"/>
      <c r="F2161" s="165"/>
      <c r="G2161" s="197"/>
      <c r="H2161" s="157"/>
      <c r="I2161" s="157"/>
      <c r="J2161" s="157"/>
      <c r="K2161" s="158"/>
      <c r="L2161" s="155"/>
      <c r="M2161" s="156"/>
      <c r="N2161" s="156"/>
      <c r="O2161" s="157"/>
      <c r="P2161" s="158"/>
      <c r="Q2161" s="158"/>
      <c r="R2161" s="215"/>
      <c r="S2161" s="159"/>
      <c r="T2161" s="225"/>
      <c r="U2161" s="485"/>
      <c r="V2161" s="310"/>
      <c r="W2161" s="310"/>
      <c r="X2161" s="310"/>
    </row>
    <row r="2162" spans="1:24" hidden="1" outlineLevel="2">
      <c r="A2162" s="162"/>
      <c r="B2162" s="163"/>
      <c r="C2162" s="236" t="s">
        <v>897</v>
      </c>
      <c r="D2162" s="361"/>
      <c r="E2162" s="164"/>
      <c r="F2162" s="165"/>
      <c r="G2162" s="197"/>
      <c r="H2162" s="157"/>
      <c r="I2162" s="157"/>
      <c r="J2162" s="157"/>
      <c r="K2162" s="158"/>
      <c r="L2162" s="155"/>
      <c r="M2162" s="156"/>
      <c r="N2162" s="156"/>
      <c r="O2162" s="157"/>
      <c r="P2162" s="158"/>
      <c r="Q2162" s="158"/>
      <c r="R2162" s="215"/>
      <c r="S2162" s="159"/>
      <c r="T2162" s="225"/>
      <c r="U2162" s="485"/>
      <c r="V2162" s="310"/>
      <c r="W2162" s="310"/>
      <c r="X2162" s="310"/>
    </row>
    <row r="2163" spans="1:24" hidden="1" outlineLevel="2">
      <c r="A2163" s="162"/>
      <c r="B2163" s="163"/>
      <c r="C2163" s="236" t="s">
        <v>898</v>
      </c>
      <c r="D2163" s="361"/>
      <c r="E2163" s="164"/>
      <c r="F2163" s="165"/>
      <c r="G2163" s="197"/>
      <c r="H2163" s="157"/>
      <c r="I2163" s="157"/>
      <c r="J2163" s="157"/>
      <c r="K2163" s="158"/>
      <c r="L2163" s="155"/>
      <c r="M2163" s="156"/>
      <c r="N2163" s="156"/>
      <c r="O2163" s="157"/>
      <c r="P2163" s="158"/>
      <c r="Q2163" s="158"/>
      <c r="R2163" s="215"/>
      <c r="S2163" s="159"/>
      <c r="T2163" s="225"/>
      <c r="U2163" s="485"/>
      <c r="V2163" s="310"/>
      <c r="W2163" s="310"/>
      <c r="X2163" s="310"/>
    </row>
    <row r="2164" spans="1:24" hidden="1" outlineLevel="2">
      <c r="A2164" s="162"/>
      <c r="B2164" s="163"/>
      <c r="C2164" s="236" t="s">
        <v>919</v>
      </c>
      <c r="D2164" s="361"/>
      <c r="E2164" s="164"/>
      <c r="F2164" s="165"/>
      <c r="G2164" s="197"/>
      <c r="H2164" s="157"/>
      <c r="I2164" s="157"/>
      <c r="J2164" s="157"/>
      <c r="K2164" s="158"/>
      <c r="L2164" s="155"/>
      <c r="M2164" s="156"/>
      <c r="N2164" s="156"/>
      <c r="O2164" s="157"/>
      <c r="P2164" s="158"/>
      <c r="Q2164" s="158"/>
      <c r="R2164" s="215"/>
      <c r="S2164" s="159"/>
      <c r="T2164" s="225"/>
      <c r="U2164" s="485"/>
      <c r="V2164" s="310"/>
      <c r="W2164" s="310"/>
      <c r="X2164" s="310"/>
    </row>
    <row r="2165" spans="1:24" hidden="1" outlineLevel="1" collapsed="1">
      <c r="A2165" s="162"/>
      <c r="B2165" s="163"/>
      <c r="C2165" s="151" t="s">
        <v>918</v>
      </c>
      <c r="D2165" s="360"/>
      <c r="E2165" s="164"/>
      <c r="F2165" s="165"/>
      <c r="G2165" s="197"/>
      <c r="H2165" s="157"/>
      <c r="I2165" s="157"/>
      <c r="J2165" s="157"/>
      <c r="K2165" s="158"/>
      <c r="L2165" s="155"/>
      <c r="M2165" s="250">
        <f>SUM(M2157:M2164)</f>
        <v>150000</v>
      </c>
      <c r="N2165" s="250">
        <f>M2165*1.23</f>
        <v>184500</v>
      </c>
      <c r="O2165" s="157"/>
      <c r="P2165" s="158"/>
      <c r="Q2165" s="158"/>
      <c r="R2165" s="215"/>
      <c r="S2165" s="159">
        <f t="shared" si="165"/>
        <v>184500</v>
      </c>
      <c r="T2165" s="225"/>
      <c r="U2165" s="485"/>
      <c r="V2165" s="310"/>
      <c r="W2165" s="310"/>
      <c r="X2165" s="310"/>
    </row>
    <row r="2166" spans="1:24" hidden="1" outlineLevel="2">
      <c r="A2166" s="162"/>
      <c r="B2166" s="151" t="s">
        <v>920</v>
      </c>
      <c r="C2166" s="151"/>
      <c r="D2166" s="360"/>
      <c r="E2166" s="164"/>
      <c r="F2166" s="165"/>
      <c r="G2166" s="197"/>
      <c r="H2166" s="156"/>
      <c r="I2166" s="156"/>
      <c r="J2166" s="156"/>
      <c r="K2166" s="259"/>
      <c r="L2166" s="155"/>
      <c r="M2166" s="156"/>
      <c r="N2166" s="156"/>
      <c r="O2166" s="156"/>
      <c r="P2166" s="259"/>
      <c r="Q2166" s="259"/>
      <c r="R2166" s="215"/>
      <c r="S2166" s="159"/>
      <c r="T2166" s="225"/>
      <c r="U2166" s="485"/>
      <c r="V2166" s="310"/>
      <c r="W2166" s="310"/>
      <c r="X2166" s="310"/>
    </row>
    <row r="2167" spans="1:24" hidden="1" outlineLevel="2">
      <c r="A2167" s="162"/>
      <c r="B2167" s="163"/>
      <c r="C2167" s="236" t="s">
        <v>891</v>
      </c>
      <c r="D2167" s="361"/>
      <c r="E2167" s="164"/>
      <c r="F2167" s="165"/>
      <c r="G2167" s="197"/>
      <c r="H2167" s="157"/>
      <c r="I2167" s="157"/>
      <c r="J2167" s="157"/>
      <c r="K2167" s="158"/>
      <c r="L2167" s="155"/>
      <c r="M2167" s="157">
        <v>220000</v>
      </c>
      <c r="N2167" s="250">
        <f>M2167*1.23</f>
        <v>270600</v>
      </c>
      <c r="O2167" s="157"/>
      <c r="P2167" s="158"/>
      <c r="Q2167" s="158"/>
      <c r="R2167" s="215"/>
      <c r="S2167" s="159">
        <f t="shared" si="165"/>
        <v>270600</v>
      </c>
      <c r="T2167" s="225"/>
      <c r="U2167" s="485" t="s">
        <v>921</v>
      </c>
      <c r="V2167" s="310"/>
      <c r="W2167" s="310"/>
      <c r="X2167" s="310"/>
    </row>
    <row r="2168" spans="1:24" hidden="1" outlineLevel="2">
      <c r="A2168" s="162"/>
      <c r="B2168" s="163"/>
      <c r="C2168" s="236" t="s">
        <v>893</v>
      </c>
      <c r="D2168" s="361"/>
      <c r="E2168" s="164"/>
      <c r="F2168" s="165"/>
      <c r="G2168" s="197"/>
      <c r="H2168" s="157"/>
      <c r="I2168" s="157"/>
      <c r="J2168" s="157"/>
      <c r="K2168" s="158"/>
      <c r="L2168" s="155"/>
      <c r="M2168" s="156"/>
      <c r="N2168" s="156"/>
      <c r="O2168" s="157"/>
      <c r="P2168" s="158"/>
      <c r="Q2168" s="158"/>
      <c r="R2168" s="215"/>
      <c r="S2168" s="159"/>
      <c r="T2168" s="225"/>
      <c r="U2168" s="485"/>
      <c r="V2168" s="310"/>
      <c r="W2168" s="310"/>
      <c r="X2168" s="310"/>
    </row>
    <row r="2169" spans="1:24" hidden="1" outlineLevel="2">
      <c r="A2169" s="162"/>
      <c r="B2169" s="163"/>
      <c r="C2169" s="236" t="s">
        <v>894</v>
      </c>
      <c r="D2169" s="361"/>
      <c r="E2169" s="164"/>
      <c r="F2169" s="165"/>
      <c r="G2169" s="197"/>
      <c r="H2169" s="157"/>
      <c r="I2169" s="157"/>
      <c r="J2169" s="157"/>
      <c r="K2169" s="158"/>
      <c r="L2169" s="155"/>
      <c r="M2169" s="156"/>
      <c r="N2169" s="156"/>
      <c r="O2169" s="157"/>
      <c r="P2169" s="158"/>
      <c r="Q2169" s="158"/>
      <c r="R2169" s="215"/>
      <c r="S2169" s="159"/>
      <c r="T2169" s="225"/>
      <c r="U2169" s="485"/>
      <c r="V2169" s="310"/>
      <c r="W2169" s="310"/>
      <c r="X2169" s="310"/>
    </row>
    <row r="2170" spans="1:24" hidden="1" outlineLevel="2">
      <c r="A2170" s="162"/>
      <c r="B2170" s="163"/>
      <c r="C2170" s="236" t="s">
        <v>895</v>
      </c>
      <c r="D2170" s="361"/>
      <c r="E2170" s="164"/>
      <c r="F2170" s="165"/>
      <c r="G2170" s="311"/>
      <c r="H2170" s="157"/>
      <c r="I2170" s="157"/>
      <c r="J2170" s="157"/>
      <c r="K2170" s="158"/>
      <c r="L2170" s="155"/>
      <c r="M2170" s="156"/>
      <c r="N2170" s="156"/>
      <c r="O2170" s="157"/>
      <c r="P2170" s="158"/>
      <c r="Q2170" s="158"/>
      <c r="R2170" s="215"/>
      <c r="S2170" s="159"/>
      <c r="T2170" s="225"/>
      <c r="U2170" s="485"/>
      <c r="V2170" s="310"/>
      <c r="W2170" s="310"/>
      <c r="X2170" s="310"/>
    </row>
    <row r="2171" spans="1:24" hidden="1" outlineLevel="2">
      <c r="A2171" s="162"/>
      <c r="B2171" s="163"/>
      <c r="C2171" s="236" t="s">
        <v>896</v>
      </c>
      <c r="D2171" s="361"/>
      <c r="E2171" s="164"/>
      <c r="F2171" s="165"/>
      <c r="G2171" s="197"/>
      <c r="H2171" s="157"/>
      <c r="I2171" s="157"/>
      <c r="J2171" s="157"/>
      <c r="K2171" s="158"/>
      <c r="L2171" s="155"/>
      <c r="M2171" s="156"/>
      <c r="N2171" s="156"/>
      <c r="O2171" s="157"/>
      <c r="P2171" s="158"/>
      <c r="Q2171" s="158"/>
      <c r="R2171" s="215"/>
      <c r="S2171" s="159"/>
      <c r="T2171" s="225"/>
      <c r="U2171" s="485"/>
      <c r="V2171" s="310"/>
      <c r="W2171" s="310"/>
      <c r="X2171" s="310"/>
    </row>
    <row r="2172" spans="1:24" hidden="1" outlineLevel="2">
      <c r="A2172" s="162"/>
      <c r="B2172" s="163"/>
      <c r="C2172" s="236" t="s">
        <v>897</v>
      </c>
      <c r="D2172" s="361"/>
      <c r="E2172" s="164"/>
      <c r="F2172" s="165"/>
      <c r="G2172" s="197"/>
      <c r="H2172" s="157"/>
      <c r="I2172" s="157"/>
      <c r="J2172" s="157"/>
      <c r="K2172" s="158"/>
      <c r="L2172" s="155"/>
      <c r="M2172" s="156"/>
      <c r="N2172" s="156"/>
      <c r="O2172" s="157"/>
      <c r="P2172" s="158"/>
      <c r="Q2172" s="158"/>
      <c r="R2172" s="215"/>
      <c r="S2172" s="159"/>
      <c r="T2172" s="225"/>
      <c r="U2172" s="485"/>
      <c r="V2172" s="310"/>
      <c r="W2172" s="310"/>
      <c r="X2172" s="310"/>
    </row>
    <row r="2173" spans="1:24" hidden="1" outlineLevel="2">
      <c r="A2173" s="162"/>
      <c r="B2173" s="163"/>
      <c r="C2173" s="236" t="s">
        <v>898</v>
      </c>
      <c r="D2173" s="361"/>
      <c r="E2173" s="164"/>
      <c r="F2173" s="165"/>
      <c r="G2173" s="197"/>
      <c r="H2173" s="157"/>
      <c r="I2173" s="157"/>
      <c r="J2173" s="157"/>
      <c r="K2173" s="158"/>
      <c r="L2173" s="155"/>
      <c r="M2173" s="156"/>
      <c r="N2173" s="156"/>
      <c r="O2173" s="157"/>
      <c r="P2173" s="158"/>
      <c r="Q2173" s="158"/>
      <c r="R2173" s="215"/>
      <c r="S2173" s="159"/>
      <c r="T2173" s="225"/>
      <c r="U2173" s="485"/>
      <c r="V2173" s="310"/>
      <c r="W2173" s="310"/>
      <c r="X2173" s="310"/>
    </row>
    <row r="2174" spans="1:24" hidden="1" outlineLevel="2">
      <c r="A2174" s="162"/>
      <c r="B2174" s="163"/>
      <c r="C2174" s="236" t="s">
        <v>379</v>
      </c>
      <c r="D2174" s="361"/>
      <c r="E2174" s="164"/>
      <c r="F2174" s="165"/>
      <c r="G2174" s="197"/>
      <c r="H2174" s="157"/>
      <c r="I2174" s="157"/>
      <c r="J2174" s="157"/>
      <c r="K2174" s="158"/>
      <c r="L2174" s="155"/>
      <c r="M2174" s="156"/>
      <c r="N2174" s="156"/>
      <c r="O2174" s="157"/>
      <c r="P2174" s="158"/>
      <c r="Q2174" s="158"/>
      <c r="R2174" s="215"/>
      <c r="S2174" s="159"/>
      <c r="T2174" s="225"/>
      <c r="U2174" s="485"/>
      <c r="V2174" s="310"/>
      <c r="W2174" s="310"/>
      <c r="X2174" s="310"/>
    </row>
    <row r="2175" spans="1:24" hidden="1" outlineLevel="1" collapsed="1">
      <c r="A2175" s="162"/>
      <c r="B2175" s="163"/>
      <c r="C2175" s="151" t="s">
        <v>922</v>
      </c>
      <c r="D2175" s="339"/>
      <c r="E2175" s="164"/>
      <c r="F2175" s="165"/>
      <c r="G2175" s="197"/>
      <c r="H2175" s="156"/>
      <c r="I2175" s="156"/>
      <c r="J2175" s="156"/>
      <c r="K2175" s="259"/>
      <c r="L2175" s="155"/>
      <c r="M2175" s="250">
        <f>SUM(M2166:M2174)</f>
        <v>220000</v>
      </c>
      <c r="N2175" s="250">
        <f>M2175*1.23</f>
        <v>270600</v>
      </c>
      <c r="O2175" s="156"/>
      <c r="P2175" s="259"/>
      <c r="Q2175" s="259"/>
      <c r="R2175" s="215"/>
      <c r="S2175" s="159">
        <f t="shared" si="165"/>
        <v>270600</v>
      </c>
      <c r="T2175" s="225"/>
      <c r="U2175" s="485"/>
      <c r="V2175" s="310"/>
      <c r="W2175" s="310"/>
      <c r="X2175" s="310"/>
    </row>
    <row r="2176" spans="1:24" hidden="1" outlineLevel="2">
      <c r="A2176" s="162"/>
      <c r="B2176" s="151" t="s">
        <v>923</v>
      </c>
      <c r="C2176" s="151"/>
      <c r="D2176" s="339"/>
      <c r="E2176" s="164"/>
      <c r="F2176" s="165"/>
      <c r="G2176" s="197"/>
      <c r="H2176" s="156"/>
      <c r="I2176" s="156"/>
      <c r="J2176" s="156"/>
      <c r="K2176" s="259"/>
      <c r="L2176" s="155"/>
      <c r="M2176" s="156"/>
      <c r="N2176" s="156"/>
      <c r="O2176" s="156"/>
      <c r="P2176" s="259"/>
      <c r="Q2176" s="259"/>
      <c r="R2176" s="215"/>
      <c r="S2176" s="159"/>
      <c r="T2176" s="225"/>
      <c r="U2176" s="485"/>
      <c r="V2176" s="310"/>
      <c r="W2176" s="310"/>
      <c r="X2176" s="310"/>
    </row>
    <row r="2177" spans="1:24" hidden="1" outlineLevel="2">
      <c r="A2177" s="162"/>
      <c r="B2177" s="163"/>
      <c r="C2177" s="236" t="s">
        <v>891</v>
      </c>
      <c r="D2177" s="361"/>
      <c r="E2177" s="164"/>
      <c r="F2177" s="165"/>
      <c r="G2177" s="197"/>
      <c r="H2177" s="157"/>
      <c r="I2177" s="157"/>
      <c r="J2177" s="157"/>
      <c r="K2177" s="158"/>
      <c r="L2177" s="155"/>
      <c r="M2177" s="157">
        <v>220000</v>
      </c>
      <c r="N2177" s="250">
        <f>M2177*1.23</f>
        <v>270600</v>
      </c>
      <c r="O2177" s="157"/>
      <c r="P2177" s="158"/>
      <c r="Q2177" s="158"/>
      <c r="R2177" s="215"/>
      <c r="S2177" s="159">
        <f t="shared" ref="S2177:S2206" si="170">SUM(L2177,N2177,P2177,R2177)</f>
        <v>270600</v>
      </c>
      <c r="T2177" s="225"/>
      <c r="U2177" s="485" t="s">
        <v>921</v>
      </c>
      <c r="V2177" s="310"/>
      <c r="W2177" s="310"/>
      <c r="X2177" s="310"/>
    </row>
    <row r="2178" spans="1:24" hidden="1" outlineLevel="2">
      <c r="A2178" s="162"/>
      <c r="B2178" s="163"/>
      <c r="C2178" s="236" t="s">
        <v>893</v>
      </c>
      <c r="D2178" s="361"/>
      <c r="E2178" s="164"/>
      <c r="F2178" s="165"/>
      <c r="G2178" s="197"/>
      <c r="H2178" s="157"/>
      <c r="I2178" s="157"/>
      <c r="J2178" s="157"/>
      <c r="K2178" s="158"/>
      <c r="L2178" s="155"/>
      <c r="M2178" s="157"/>
      <c r="N2178" s="157"/>
      <c r="O2178" s="157"/>
      <c r="P2178" s="158"/>
      <c r="Q2178" s="158"/>
      <c r="R2178" s="215"/>
      <c r="S2178" s="159"/>
      <c r="T2178" s="225"/>
      <c r="U2178" s="485"/>
      <c r="V2178" s="310"/>
      <c r="W2178" s="310"/>
      <c r="X2178" s="310"/>
    </row>
    <row r="2179" spans="1:24" hidden="1" outlineLevel="2">
      <c r="A2179" s="162"/>
      <c r="B2179" s="163"/>
      <c r="C2179" s="236" t="s">
        <v>894</v>
      </c>
      <c r="D2179" s="361"/>
      <c r="E2179" s="164"/>
      <c r="F2179" s="165"/>
      <c r="G2179" s="197"/>
      <c r="H2179" s="157"/>
      <c r="I2179" s="157"/>
      <c r="J2179" s="157"/>
      <c r="K2179" s="158"/>
      <c r="L2179" s="155"/>
      <c r="M2179" s="157"/>
      <c r="N2179" s="157"/>
      <c r="O2179" s="157"/>
      <c r="P2179" s="158"/>
      <c r="Q2179" s="158"/>
      <c r="R2179" s="215"/>
      <c r="S2179" s="159"/>
      <c r="T2179" s="225"/>
      <c r="U2179" s="485"/>
      <c r="V2179" s="310"/>
      <c r="W2179" s="310"/>
      <c r="X2179" s="310"/>
    </row>
    <row r="2180" spans="1:24" hidden="1" outlineLevel="2">
      <c r="A2180" s="162"/>
      <c r="B2180" s="163"/>
      <c r="C2180" s="236" t="s">
        <v>895</v>
      </c>
      <c r="D2180" s="361"/>
      <c r="E2180" s="164"/>
      <c r="F2180" s="165"/>
      <c r="G2180" s="311"/>
      <c r="H2180" s="157"/>
      <c r="I2180" s="157"/>
      <c r="J2180" s="157"/>
      <c r="K2180" s="158"/>
      <c r="L2180" s="155"/>
      <c r="M2180" s="157"/>
      <c r="N2180" s="157"/>
      <c r="O2180" s="157"/>
      <c r="P2180" s="158"/>
      <c r="Q2180" s="158"/>
      <c r="R2180" s="215"/>
      <c r="S2180" s="159"/>
      <c r="T2180" s="225"/>
      <c r="U2180" s="485"/>
      <c r="V2180" s="310"/>
      <c r="W2180" s="310"/>
      <c r="X2180" s="310"/>
    </row>
    <row r="2181" spans="1:24" hidden="1" outlineLevel="2">
      <c r="A2181" s="162"/>
      <c r="B2181" s="163"/>
      <c r="C2181" s="236" t="s">
        <v>896</v>
      </c>
      <c r="D2181" s="361"/>
      <c r="E2181" s="164"/>
      <c r="F2181" s="165"/>
      <c r="G2181" s="197"/>
      <c r="H2181" s="157"/>
      <c r="I2181" s="157"/>
      <c r="J2181" s="157"/>
      <c r="K2181" s="158"/>
      <c r="L2181" s="155"/>
      <c r="M2181" s="157"/>
      <c r="N2181" s="157"/>
      <c r="O2181" s="157"/>
      <c r="P2181" s="158"/>
      <c r="Q2181" s="158"/>
      <c r="R2181" s="215"/>
      <c r="S2181" s="159"/>
      <c r="T2181" s="225"/>
      <c r="U2181" s="485"/>
      <c r="V2181" s="310"/>
      <c r="W2181" s="310"/>
      <c r="X2181" s="310"/>
    </row>
    <row r="2182" spans="1:24" hidden="1" outlineLevel="2">
      <c r="A2182" s="162"/>
      <c r="B2182" s="163"/>
      <c r="C2182" s="236" t="s">
        <v>897</v>
      </c>
      <c r="D2182" s="361"/>
      <c r="E2182" s="164"/>
      <c r="F2182" s="165"/>
      <c r="G2182" s="197"/>
      <c r="H2182" s="157"/>
      <c r="I2182" s="157"/>
      <c r="J2182" s="157"/>
      <c r="K2182" s="158"/>
      <c r="L2182" s="155"/>
      <c r="M2182" s="157"/>
      <c r="N2182" s="157"/>
      <c r="O2182" s="157"/>
      <c r="P2182" s="158"/>
      <c r="Q2182" s="158"/>
      <c r="R2182" s="215"/>
      <c r="S2182" s="159"/>
      <c r="T2182" s="225"/>
      <c r="U2182" s="485"/>
      <c r="V2182" s="310"/>
      <c r="W2182" s="310"/>
      <c r="X2182" s="310"/>
    </row>
    <row r="2183" spans="1:24" hidden="1" outlineLevel="2">
      <c r="A2183" s="162"/>
      <c r="B2183" s="163"/>
      <c r="C2183" s="236" t="s">
        <v>898</v>
      </c>
      <c r="D2183" s="361"/>
      <c r="E2183" s="164"/>
      <c r="F2183" s="165"/>
      <c r="G2183" s="197"/>
      <c r="H2183" s="157"/>
      <c r="I2183" s="157"/>
      <c r="J2183" s="157"/>
      <c r="K2183" s="158"/>
      <c r="L2183" s="155"/>
      <c r="M2183" s="157"/>
      <c r="N2183" s="157"/>
      <c r="O2183" s="157"/>
      <c r="P2183" s="158"/>
      <c r="Q2183" s="158"/>
      <c r="R2183" s="215"/>
      <c r="S2183" s="159"/>
      <c r="T2183" s="225"/>
      <c r="U2183" s="485"/>
      <c r="V2183" s="310"/>
      <c r="W2183" s="310"/>
      <c r="X2183" s="310"/>
    </row>
    <row r="2184" spans="1:24" hidden="1" outlineLevel="2">
      <c r="A2184" s="162"/>
      <c r="B2184" s="163"/>
      <c r="C2184" s="236" t="s">
        <v>379</v>
      </c>
      <c r="D2184" s="361"/>
      <c r="E2184" s="164"/>
      <c r="F2184" s="165"/>
      <c r="G2184" s="197"/>
      <c r="H2184" s="157"/>
      <c r="I2184" s="157"/>
      <c r="J2184" s="157"/>
      <c r="K2184" s="158"/>
      <c r="L2184" s="155"/>
      <c r="M2184" s="157"/>
      <c r="N2184" s="157"/>
      <c r="O2184" s="157"/>
      <c r="P2184" s="158"/>
      <c r="Q2184" s="158"/>
      <c r="R2184" s="215"/>
      <c r="S2184" s="159"/>
      <c r="T2184" s="225"/>
      <c r="U2184" s="485"/>
      <c r="V2184" s="310"/>
      <c r="W2184" s="310"/>
      <c r="X2184" s="310"/>
    </row>
    <row r="2185" spans="1:24" hidden="1" outlineLevel="1" collapsed="1">
      <c r="A2185" s="162"/>
      <c r="B2185" s="163"/>
      <c r="C2185" s="151" t="s">
        <v>923</v>
      </c>
      <c r="D2185" s="339"/>
      <c r="E2185" s="164"/>
      <c r="F2185" s="165"/>
      <c r="G2185" s="197"/>
      <c r="H2185" s="156"/>
      <c r="I2185" s="156"/>
      <c r="J2185" s="156"/>
      <c r="K2185" s="259"/>
      <c r="L2185" s="155"/>
      <c r="M2185" s="250">
        <f>SUM(M2177:M2184)</f>
        <v>220000</v>
      </c>
      <c r="N2185" s="250">
        <f>M2185*1.23</f>
        <v>270600</v>
      </c>
      <c r="O2185" s="156"/>
      <c r="P2185" s="259"/>
      <c r="Q2185" s="259"/>
      <c r="R2185" s="215"/>
      <c r="S2185" s="159">
        <f t="shared" si="170"/>
        <v>270600</v>
      </c>
      <c r="T2185" s="225"/>
      <c r="U2185" s="485"/>
      <c r="V2185" s="310"/>
      <c r="W2185" s="310"/>
      <c r="X2185" s="310"/>
    </row>
    <row r="2186" spans="1:24" hidden="1" outlineLevel="2">
      <c r="A2186" s="162"/>
      <c r="B2186" s="151" t="s">
        <v>924</v>
      </c>
      <c r="C2186" s="151"/>
      <c r="D2186" s="360"/>
      <c r="E2186" s="164"/>
      <c r="F2186" s="165"/>
      <c r="G2186" s="197"/>
      <c r="H2186" s="156"/>
      <c r="I2186" s="156"/>
      <c r="J2186" s="156"/>
      <c r="K2186" s="259"/>
      <c r="L2186" s="155"/>
      <c r="M2186" s="156"/>
      <c r="N2186" s="156"/>
      <c r="O2186" s="156"/>
      <c r="P2186" s="259"/>
      <c r="Q2186" s="259"/>
      <c r="R2186" s="215"/>
      <c r="S2186" s="159"/>
      <c r="T2186" s="225"/>
      <c r="U2186" s="485"/>
      <c r="V2186" s="310"/>
      <c r="W2186" s="310"/>
      <c r="X2186" s="310"/>
    </row>
    <row r="2187" spans="1:24" hidden="1" outlineLevel="2">
      <c r="A2187" s="162"/>
      <c r="B2187" s="163"/>
      <c r="C2187" s="236" t="s">
        <v>891</v>
      </c>
      <c r="D2187" s="361"/>
      <c r="E2187" s="164"/>
      <c r="F2187" s="165"/>
      <c r="G2187" s="197"/>
      <c r="H2187" s="157"/>
      <c r="I2187" s="157"/>
      <c r="J2187" s="157"/>
      <c r="K2187" s="158"/>
      <c r="L2187" s="155"/>
      <c r="M2187" s="156"/>
      <c r="N2187" s="156"/>
      <c r="O2187" s="157"/>
      <c r="P2187" s="158"/>
      <c r="Q2187" s="158"/>
      <c r="R2187" s="215"/>
      <c r="S2187" s="159"/>
      <c r="T2187" s="225"/>
      <c r="U2187" s="485"/>
      <c r="V2187" s="310"/>
      <c r="W2187" s="310"/>
      <c r="X2187" s="310"/>
    </row>
    <row r="2188" spans="1:24" hidden="1" outlineLevel="2">
      <c r="A2188" s="162"/>
      <c r="B2188" s="163"/>
      <c r="C2188" s="236" t="s">
        <v>893</v>
      </c>
      <c r="D2188" s="361"/>
      <c r="E2188" s="164"/>
      <c r="F2188" s="165"/>
      <c r="G2188" s="197"/>
      <c r="H2188" s="157"/>
      <c r="I2188" s="157"/>
      <c r="J2188" s="157"/>
      <c r="K2188" s="158"/>
      <c r="L2188" s="155"/>
      <c r="M2188" s="156"/>
      <c r="N2188" s="156"/>
      <c r="O2188" s="157"/>
      <c r="P2188" s="158"/>
      <c r="Q2188" s="158"/>
      <c r="R2188" s="215"/>
      <c r="S2188" s="159"/>
      <c r="T2188" s="225"/>
      <c r="U2188" s="485"/>
      <c r="V2188" s="310"/>
      <c r="W2188" s="310"/>
      <c r="X2188" s="310"/>
    </row>
    <row r="2189" spans="1:24" hidden="1" outlineLevel="2">
      <c r="A2189" s="162"/>
      <c r="B2189" s="163"/>
      <c r="C2189" s="236" t="s">
        <v>894</v>
      </c>
      <c r="D2189" s="361"/>
      <c r="E2189" s="164"/>
      <c r="F2189" s="165"/>
      <c r="G2189" s="197"/>
      <c r="H2189" s="157"/>
      <c r="I2189" s="157"/>
      <c r="J2189" s="157"/>
      <c r="K2189" s="158"/>
      <c r="L2189" s="155"/>
      <c r="M2189" s="156"/>
      <c r="N2189" s="156"/>
      <c r="O2189" s="157"/>
      <c r="P2189" s="158"/>
      <c r="Q2189" s="158"/>
      <c r="R2189" s="215"/>
      <c r="S2189" s="159"/>
      <c r="T2189" s="225"/>
      <c r="U2189" s="485"/>
      <c r="V2189" s="310"/>
      <c r="W2189" s="310"/>
      <c r="X2189" s="310"/>
    </row>
    <row r="2190" spans="1:24" hidden="1" outlineLevel="2">
      <c r="A2190" s="162"/>
      <c r="B2190" s="163"/>
      <c r="C2190" s="236" t="s">
        <v>895</v>
      </c>
      <c r="D2190" s="361"/>
      <c r="E2190" s="164"/>
      <c r="F2190" s="165"/>
      <c r="G2190" s="311">
        <f>CIP!$AR$57</f>
        <v>0</v>
      </c>
      <c r="H2190" s="157">
        <f>CIP!$AS$57</f>
        <v>0</v>
      </c>
      <c r="I2190" s="157"/>
      <c r="J2190" s="157"/>
      <c r="K2190" s="158"/>
      <c r="L2190" s="155">
        <f>SUM(G2190:K2190)</f>
        <v>0</v>
      </c>
      <c r="M2190" s="156"/>
      <c r="N2190" s="156"/>
      <c r="O2190" s="157"/>
      <c r="P2190" s="158"/>
      <c r="Q2190" s="158"/>
      <c r="R2190" s="215"/>
      <c r="S2190" s="159">
        <f t="shared" si="170"/>
        <v>0</v>
      </c>
      <c r="T2190" s="225"/>
      <c r="U2190" s="485" t="s">
        <v>925</v>
      </c>
      <c r="V2190" s="310"/>
      <c r="W2190" s="310"/>
      <c r="X2190" s="310"/>
    </row>
    <row r="2191" spans="1:24" hidden="1" outlineLevel="2">
      <c r="A2191" s="162"/>
      <c r="B2191" s="163"/>
      <c r="C2191" s="236" t="s">
        <v>896</v>
      </c>
      <c r="D2191" s="361"/>
      <c r="E2191" s="164"/>
      <c r="F2191" s="165"/>
      <c r="G2191" s="197"/>
      <c r="H2191" s="157"/>
      <c r="I2191" s="157"/>
      <c r="J2191" s="157"/>
      <c r="K2191" s="158"/>
      <c r="L2191" s="155"/>
      <c r="M2191" s="156"/>
      <c r="N2191" s="156"/>
      <c r="O2191" s="157"/>
      <c r="P2191" s="158"/>
      <c r="Q2191" s="158"/>
      <c r="R2191" s="215"/>
      <c r="S2191" s="159"/>
      <c r="T2191" s="225"/>
      <c r="U2191" s="485"/>
      <c r="V2191" s="310"/>
      <c r="W2191" s="310"/>
      <c r="X2191" s="310"/>
    </row>
    <row r="2192" spans="1:24" hidden="1" outlineLevel="2">
      <c r="A2192" s="162"/>
      <c r="B2192" s="163"/>
      <c r="C2192" s="236" t="s">
        <v>897</v>
      </c>
      <c r="D2192" s="361"/>
      <c r="E2192" s="164"/>
      <c r="F2192" s="165"/>
      <c r="G2192" s="197"/>
      <c r="H2192" s="157"/>
      <c r="I2192" s="157"/>
      <c r="J2192" s="157"/>
      <c r="K2192" s="158"/>
      <c r="L2192" s="155"/>
      <c r="M2192" s="156"/>
      <c r="N2192" s="156"/>
      <c r="O2192" s="157"/>
      <c r="P2192" s="158"/>
      <c r="Q2192" s="158"/>
      <c r="R2192" s="215"/>
      <c r="S2192" s="159"/>
      <c r="T2192" s="225"/>
      <c r="U2192" s="485"/>
      <c r="V2192" s="310"/>
      <c r="W2192" s="310"/>
      <c r="X2192" s="310"/>
    </row>
    <row r="2193" spans="1:24" hidden="1" outlineLevel="2">
      <c r="A2193" s="162"/>
      <c r="B2193" s="163"/>
      <c r="C2193" s="236" t="s">
        <v>898</v>
      </c>
      <c r="D2193" s="361"/>
      <c r="E2193" s="164"/>
      <c r="F2193" s="165"/>
      <c r="G2193" s="197"/>
      <c r="H2193" s="157"/>
      <c r="I2193" s="157"/>
      <c r="J2193" s="157"/>
      <c r="K2193" s="158"/>
      <c r="L2193" s="155"/>
      <c r="M2193" s="156"/>
      <c r="N2193" s="156"/>
      <c r="O2193" s="157"/>
      <c r="P2193" s="158"/>
      <c r="Q2193" s="158"/>
      <c r="R2193" s="215"/>
      <c r="S2193" s="159"/>
      <c r="T2193" s="225"/>
      <c r="U2193" s="485"/>
      <c r="V2193" s="310"/>
      <c r="W2193" s="310"/>
      <c r="X2193" s="310"/>
    </row>
    <row r="2194" spans="1:24" hidden="1" outlineLevel="2">
      <c r="A2194" s="162"/>
      <c r="B2194" s="163"/>
      <c r="C2194" s="236" t="s">
        <v>379</v>
      </c>
      <c r="D2194" s="361"/>
      <c r="E2194" s="164"/>
      <c r="F2194" s="165"/>
      <c r="G2194" s="197"/>
      <c r="H2194" s="157"/>
      <c r="I2194" s="157"/>
      <c r="J2194" s="157"/>
      <c r="K2194" s="158"/>
      <c r="L2194" s="155"/>
      <c r="M2194" s="156"/>
      <c r="N2194" s="156"/>
      <c r="O2194" s="157"/>
      <c r="P2194" s="158"/>
      <c r="Q2194" s="158"/>
      <c r="R2194" s="215"/>
      <c r="S2194" s="159"/>
      <c r="T2194" s="225"/>
      <c r="U2194" s="485"/>
      <c r="V2194" s="310"/>
      <c r="W2194" s="310"/>
      <c r="X2194" s="310"/>
    </row>
    <row r="2195" spans="1:24" hidden="1" outlineLevel="1" collapsed="1">
      <c r="A2195" s="162"/>
      <c r="B2195" s="163"/>
      <c r="C2195" s="151" t="s">
        <v>924</v>
      </c>
      <c r="D2195" s="339"/>
      <c r="E2195" s="164"/>
      <c r="F2195" s="165"/>
      <c r="G2195" s="249">
        <f>SUM(G2187:G2194)</f>
        <v>0</v>
      </c>
      <c r="H2195" s="250">
        <f>SUM(H2187:H2194)</f>
        <v>0</v>
      </c>
      <c r="I2195" s="250"/>
      <c r="J2195" s="250"/>
      <c r="K2195" s="403"/>
      <c r="L2195" s="159">
        <f>SUM(G2195:K2195)</f>
        <v>0</v>
      </c>
      <c r="M2195" s="156"/>
      <c r="N2195" s="156"/>
      <c r="O2195" s="156"/>
      <c r="P2195" s="259"/>
      <c r="Q2195" s="259"/>
      <c r="R2195" s="215"/>
      <c r="S2195" s="159">
        <f t="shared" si="170"/>
        <v>0</v>
      </c>
      <c r="T2195" s="225"/>
      <c r="U2195" s="485" t="s">
        <v>911</v>
      </c>
      <c r="V2195" s="310"/>
      <c r="W2195" s="310"/>
      <c r="X2195" s="310"/>
    </row>
    <row r="2196" spans="1:24" hidden="1" outlineLevel="2">
      <c r="A2196" s="162"/>
      <c r="B2196" s="151" t="s">
        <v>926</v>
      </c>
      <c r="C2196" s="151"/>
      <c r="D2196" s="339"/>
      <c r="E2196" s="164"/>
      <c r="F2196" s="165"/>
      <c r="G2196" s="197"/>
      <c r="H2196" s="156"/>
      <c r="I2196" s="156"/>
      <c r="J2196" s="156"/>
      <c r="K2196" s="259"/>
      <c r="L2196" s="155"/>
      <c r="M2196" s="156"/>
      <c r="N2196" s="156"/>
      <c r="O2196" s="156"/>
      <c r="P2196" s="259"/>
      <c r="Q2196" s="259"/>
      <c r="R2196" s="215"/>
      <c r="S2196" s="159"/>
      <c r="T2196" s="225"/>
      <c r="U2196" s="170"/>
      <c r="W2196" s="310"/>
    </row>
    <row r="2197" spans="1:24" hidden="1" outlineLevel="2">
      <c r="A2197" s="162"/>
      <c r="B2197" s="163"/>
      <c r="C2197" s="236" t="s">
        <v>891</v>
      </c>
      <c r="D2197" s="361"/>
      <c r="E2197" s="164"/>
      <c r="F2197" s="165"/>
      <c r="G2197" s="197"/>
      <c r="H2197" s="157"/>
      <c r="I2197" s="157"/>
      <c r="J2197" s="157"/>
      <c r="K2197" s="158"/>
      <c r="L2197" s="155"/>
      <c r="M2197" s="156"/>
      <c r="N2197" s="156"/>
      <c r="O2197" s="157">
        <v>250000</v>
      </c>
      <c r="P2197" s="248">
        <f t="shared" ref="P2197" si="171">O2197*1.46</f>
        <v>365000</v>
      </c>
      <c r="Q2197" s="158"/>
      <c r="R2197" s="215"/>
      <c r="S2197" s="159">
        <f t="shared" si="170"/>
        <v>365000</v>
      </c>
      <c r="T2197" s="225"/>
      <c r="U2197" s="170" t="s">
        <v>1172</v>
      </c>
      <c r="W2197" s="253"/>
    </row>
    <row r="2198" spans="1:24" hidden="1" outlineLevel="2">
      <c r="A2198" s="162"/>
      <c r="B2198" s="163"/>
      <c r="C2198" s="236" t="s">
        <v>893</v>
      </c>
      <c r="D2198" s="361"/>
      <c r="E2198" s="164"/>
      <c r="F2198" s="165"/>
      <c r="G2198" s="197"/>
      <c r="H2198" s="157"/>
      <c r="I2198" s="157"/>
      <c r="J2198" s="157"/>
      <c r="K2198" s="158"/>
      <c r="L2198" s="155"/>
      <c r="M2198" s="156"/>
      <c r="N2198" s="156"/>
      <c r="O2198" s="157"/>
      <c r="P2198" s="158"/>
      <c r="Q2198" s="158"/>
      <c r="R2198" s="215"/>
      <c r="S2198" s="159"/>
      <c r="T2198" s="225"/>
      <c r="U2198" s="170"/>
      <c r="W2198" s="253"/>
    </row>
    <row r="2199" spans="1:24" hidden="1" outlineLevel="2">
      <c r="A2199" s="162"/>
      <c r="B2199" s="163"/>
      <c r="C2199" s="236" t="s">
        <v>894</v>
      </c>
      <c r="D2199" s="361"/>
      <c r="E2199" s="164"/>
      <c r="F2199" s="165"/>
      <c r="G2199" s="197"/>
      <c r="H2199" s="157"/>
      <c r="I2199" s="157"/>
      <c r="J2199" s="157"/>
      <c r="K2199" s="158"/>
      <c r="L2199" s="155"/>
      <c r="M2199" s="156"/>
      <c r="N2199" s="156"/>
      <c r="O2199" s="157"/>
      <c r="P2199" s="158"/>
      <c r="Q2199" s="158"/>
      <c r="R2199" s="215"/>
      <c r="S2199" s="159"/>
      <c r="T2199" s="225"/>
      <c r="U2199" s="170"/>
      <c r="W2199" s="253"/>
    </row>
    <row r="2200" spans="1:24" hidden="1" outlineLevel="2">
      <c r="A2200" s="162"/>
      <c r="B2200" s="163"/>
      <c r="C2200" s="236" t="s">
        <v>895</v>
      </c>
      <c r="D2200" s="361"/>
      <c r="E2200" s="164"/>
      <c r="F2200" s="165"/>
      <c r="G2200" s="311"/>
      <c r="H2200" s="157"/>
      <c r="I2200" s="157"/>
      <c r="J2200" s="157"/>
      <c r="K2200" s="158"/>
      <c r="L2200" s="155"/>
      <c r="M2200" s="156"/>
      <c r="N2200" s="156"/>
      <c r="O2200" s="157"/>
      <c r="P2200" s="158"/>
      <c r="Q2200" s="158"/>
      <c r="R2200" s="215"/>
      <c r="S2200" s="159"/>
      <c r="T2200" s="225"/>
      <c r="U2200" s="170"/>
      <c r="W2200" s="253"/>
    </row>
    <row r="2201" spans="1:24" hidden="1" outlineLevel="2">
      <c r="A2201" s="162"/>
      <c r="B2201" s="163"/>
      <c r="C2201" s="236" t="s">
        <v>896</v>
      </c>
      <c r="D2201" s="361"/>
      <c r="E2201" s="164"/>
      <c r="F2201" s="165"/>
      <c r="G2201" s="197"/>
      <c r="H2201" s="157"/>
      <c r="I2201" s="157"/>
      <c r="J2201" s="157"/>
      <c r="K2201" s="158"/>
      <c r="L2201" s="155"/>
      <c r="M2201" s="156"/>
      <c r="N2201" s="156"/>
      <c r="O2201" s="157"/>
      <c r="P2201" s="158"/>
      <c r="Q2201" s="158"/>
      <c r="R2201" s="215"/>
      <c r="S2201" s="159"/>
      <c r="T2201" s="225"/>
      <c r="U2201" s="170"/>
      <c r="W2201" s="253"/>
    </row>
    <row r="2202" spans="1:24" hidden="1" outlineLevel="2">
      <c r="A2202" s="162"/>
      <c r="B2202" s="163"/>
      <c r="C2202" s="236" t="s">
        <v>897</v>
      </c>
      <c r="D2202" s="361"/>
      <c r="E2202" s="164"/>
      <c r="F2202" s="165"/>
      <c r="G2202" s="197"/>
      <c r="H2202" s="157"/>
      <c r="I2202" s="157"/>
      <c r="J2202" s="157"/>
      <c r="K2202" s="158"/>
      <c r="L2202" s="155"/>
      <c r="M2202" s="156"/>
      <c r="N2202" s="156"/>
      <c r="O2202" s="157"/>
      <c r="P2202" s="158"/>
      <c r="Q2202" s="158"/>
      <c r="R2202" s="215"/>
      <c r="S2202" s="159"/>
      <c r="T2202" s="225"/>
      <c r="U2202" s="170"/>
      <c r="W2202" s="253"/>
    </row>
    <row r="2203" spans="1:24" hidden="1" outlineLevel="2">
      <c r="A2203" s="162"/>
      <c r="B2203" s="163"/>
      <c r="C2203" s="236" t="s">
        <v>898</v>
      </c>
      <c r="D2203" s="361"/>
      <c r="E2203" s="164"/>
      <c r="F2203" s="165"/>
      <c r="G2203" s="197"/>
      <c r="H2203" s="157"/>
      <c r="I2203" s="157"/>
      <c r="J2203" s="157"/>
      <c r="K2203" s="158"/>
      <c r="L2203" s="155"/>
      <c r="M2203" s="156"/>
      <c r="N2203" s="156"/>
      <c r="O2203" s="157"/>
      <c r="P2203" s="158"/>
      <c r="Q2203" s="158"/>
      <c r="R2203" s="215"/>
      <c r="S2203" s="159"/>
      <c r="T2203" s="225"/>
      <c r="U2203" s="170"/>
      <c r="W2203" s="253"/>
    </row>
    <row r="2204" spans="1:24" hidden="1" outlineLevel="2">
      <c r="A2204" s="162"/>
      <c r="B2204" s="163"/>
      <c r="C2204" s="236" t="s">
        <v>379</v>
      </c>
      <c r="D2204" s="361"/>
      <c r="E2204" s="164"/>
      <c r="F2204" s="165"/>
      <c r="G2204" s="197"/>
      <c r="H2204" s="157"/>
      <c r="I2204" s="157"/>
      <c r="J2204" s="157"/>
      <c r="K2204" s="158"/>
      <c r="L2204" s="155"/>
      <c r="M2204" s="156"/>
      <c r="N2204" s="156"/>
      <c r="O2204" s="157"/>
      <c r="P2204" s="158"/>
      <c r="Q2204" s="158"/>
      <c r="R2204" s="215"/>
      <c r="S2204" s="159"/>
      <c r="T2204" s="225"/>
      <c r="U2204" s="170"/>
      <c r="W2204" s="253"/>
    </row>
    <row r="2205" spans="1:24" hidden="1" outlineLevel="1" collapsed="1">
      <c r="A2205" s="162"/>
      <c r="B2205" s="163"/>
      <c r="C2205" s="151" t="s">
        <v>926</v>
      </c>
      <c r="D2205" s="339"/>
      <c r="E2205" s="164"/>
      <c r="F2205" s="165"/>
      <c r="G2205" s="197"/>
      <c r="H2205" s="156"/>
      <c r="I2205" s="156"/>
      <c r="J2205" s="156"/>
      <c r="K2205" s="259"/>
      <c r="L2205" s="155"/>
      <c r="M2205" s="156"/>
      <c r="N2205" s="156"/>
      <c r="O2205" s="250">
        <f>SUM(O2197:O2204)</f>
        <v>250000</v>
      </c>
      <c r="P2205" s="248">
        <f t="shared" ref="P2205:P2206" si="172">O2205*1.46</f>
        <v>365000</v>
      </c>
      <c r="Q2205" s="259"/>
      <c r="R2205" s="215"/>
      <c r="S2205" s="159">
        <f t="shared" si="170"/>
        <v>365000</v>
      </c>
      <c r="T2205" s="225"/>
      <c r="U2205" s="170"/>
      <c r="W2205" s="310"/>
    </row>
    <row r="2206" spans="1:24" s="233" customFormat="1" ht="16.5" customHeight="1" collapsed="1">
      <c r="A2206" s="229"/>
      <c r="B2206" s="171"/>
      <c r="C2206" s="151" t="s">
        <v>927</v>
      </c>
      <c r="D2206" s="360"/>
      <c r="E2206" s="157"/>
      <c r="F2206" s="158"/>
      <c r="G2206" s="249">
        <f>SUM(G2107,G2110,G2122,G2125,G2135,G2145,G2155,G2165,G2195,G2205)</f>
        <v>0</v>
      </c>
      <c r="H2206" s="244">
        <f>SUM(H2107,H2110,H2122,H2125,H2135,H2145,H2155,H2165,H2195,H2205)</f>
        <v>0</v>
      </c>
      <c r="I2206" s="244"/>
      <c r="J2206" s="244"/>
      <c r="K2206" s="255">
        <f>SUM(K2107,K2110,K2122,K2125,K2135,K2145,K2155,K2165,K2195,K2205)</f>
        <v>0</v>
      </c>
      <c r="L2206" s="159">
        <f>SUM(G2206:K2206)</f>
        <v>0</v>
      </c>
      <c r="M2206" s="156">
        <f>SUM(M2107,M2110,M2122,M2125,M2135,M2145,M2155,M2165,M2175,M2185,M2195,M2205)</f>
        <v>3905000</v>
      </c>
      <c r="N2206" s="250">
        <f>M2206*1.23</f>
        <v>4803150</v>
      </c>
      <c r="O2206" s="156">
        <f>SUM(O2107,O2110,O2122,O2125,O2135,O2145,O2155,O2165,O2175,O2185,O2195,O2205)</f>
        <v>1065000</v>
      </c>
      <c r="P2206" s="248">
        <f t="shared" si="172"/>
        <v>1554900</v>
      </c>
      <c r="Q2206" s="156"/>
      <c r="R2206" s="255"/>
      <c r="S2206" s="159">
        <f t="shared" si="170"/>
        <v>6358050</v>
      </c>
      <c r="T2206" s="225"/>
      <c r="U2206" s="161" t="s">
        <v>1311</v>
      </c>
    </row>
    <row r="2207" spans="1:24" s="233" customFormat="1" hidden="1" outlineLevel="1">
      <c r="A2207" s="229" t="s">
        <v>928</v>
      </c>
      <c r="B2207" s="171"/>
      <c r="C2207" s="151"/>
      <c r="D2207" s="360"/>
      <c r="E2207" s="157"/>
      <c r="F2207" s="158"/>
      <c r="G2207" s="197"/>
      <c r="H2207" s="157"/>
      <c r="I2207" s="157"/>
      <c r="J2207" s="157"/>
      <c r="K2207" s="158"/>
      <c r="L2207" s="155"/>
      <c r="M2207" s="156"/>
      <c r="N2207" s="250"/>
      <c r="O2207" s="157"/>
      <c r="P2207" s="248"/>
      <c r="Q2207" s="158"/>
      <c r="R2207" s="255"/>
      <c r="S2207" s="159"/>
      <c r="T2207" s="225"/>
      <c r="U2207" s="161"/>
    </row>
    <row r="2208" spans="1:24" s="233" customFormat="1" hidden="1" outlineLevel="2">
      <c r="A2208" s="312"/>
      <c r="B2208" s="151" t="s">
        <v>583</v>
      </c>
      <c r="C2208" s="171"/>
      <c r="D2208" s="343"/>
      <c r="E2208" s="157"/>
      <c r="F2208" s="158"/>
      <c r="G2208" s="197"/>
      <c r="H2208" s="157"/>
      <c r="I2208" s="157"/>
      <c r="J2208" s="157"/>
      <c r="K2208" s="158"/>
      <c r="L2208" s="155"/>
      <c r="M2208" s="156"/>
      <c r="N2208" s="250"/>
      <c r="O2208" s="157"/>
      <c r="P2208" s="248"/>
      <c r="Q2208" s="158"/>
      <c r="R2208" s="255"/>
      <c r="S2208" s="159"/>
      <c r="T2208" s="225"/>
      <c r="U2208" s="161"/>
    </row>
    <row r="2209" spans="1:23" hidden="1" outlineLevel="2">
      <c r="A2209" s="162"/>
      <c r="B2209" s="163"/>
      <c r="C2209" s="236" t="s">
        <v>891</v>
      </c>
      <c r="D2209" s="361"/>
      <c r="E2209" s="164"/>
      <c r="F2209" s="165"/>
      <c r="G2209" s="197"/>
      <c r="H2209" s="157"/>
      <c r="I2209" s="157"/>
      <c r="J2209" s="157"/>
      <c r="K2209" s="158"/>
      <c r="L2209" s="155"/>
      <c r="M2209" s="156">
        <v>630000</v>
      </c>
      <c r="N2209" s="250">
        <f>M2209*1.23</f>
        <v>774900</v>
      </c>
      <c r="O2209" s="157">
        <v>500000</v>
      </c>
      <c r="P2209" s="248">
        <f t="shared" ref="P2209" si="173">O2209*1.46</f>
        <v>730000</v>
      </c>
      <c r="Q2209" s="158"/>
      <c r="R2209" s="255"/>
      <c r="S2209" s="159">
        <f t="shared" ref="S2209" si="174">SUM(L2209,N2209,P2209,R2209)</f>
        <v>1504900</v>
      </c>
      <c r="T2209" s="225"/>
      <c r="U2209" s="170" t="s">
        <v>1173</v>
      </c>
      <c r="W2209" s="253"/>
    </row>
    <row r="2210" spans="1:23" hidden="1" outlineLevel="2">
      <c r="A2210" s="162"/>
      <c r="B2210" s="163"/>
      <c r="C2210" s="236" t="s">
        <v>893</v>
      </c>
      <c r="D2210" s="361"/>
      <c r="E2210" s="164"/>
      <c r="F2210" s="165"/>
      <c r="G2210" s="197"/>
      <c r="H2210" s="157"/>
      <c r="I2210" s="157"/>
      <c r="J2210" s="157"/>
      <c r="K2210" s="158"/>
      <c r="L2210" s="155"/>
      <c r="M2210" s="156"/>
      <c r="N2210" s="250"/>
      <c r="O2210" s="157"/>
      <c r="P2210" s="248"/>
      <c r="Q2210" s="158"/>
      <c r="R2210" s="255"/>
      <c r="S2210" s="159"/>
      <c r="T2210" s="225"/>
      <c r="U2210" s="170"/>
      <c r="W2210" s="253"/>
    </row>
    <row r="2211" spans="1:23" hidden="1" outlineLevel="2">
      <c r="A2211" s="162"/>
      <c r="B2211" s="163"/>
      <c r="C2211" s="236" t="s">
        <v>894</v>
      </c>
      <c r="D2211" s="361"/>
      <c r="E2211" s="164"/>
      <c r="F2211" s="165"/>
      <c r="G2211" s="197"/>
      <c r="H2211" s="157"/>
      <c r="I2211" s="157"/>
      <c r="J2211" s="157"/>
      <c r="K2211" s="158"/>
      <c r="L2211" s="155"/>
      <c r="M2211" s="156"/>
      <c r="N2211" s="250"/>
      <c r="O2211" s="157"/>
      <c r="P2211" s="248"/>
      <c r="Q2211" s="158"/>
      <c r="R2211" s="255"/>
      <c r="S2211" s="159"/>
      <c r="T2211" s="225"/>
      <c r="U2211" s="170"/>
      <c r="W2211" s="253"/>
    </row>
    <row r="2212" spans="1:23" hidden="1" outlineLevel="2">
      <c r="A2212" s="162"/>
      <c r="B2212" s="163"/>
      <c r="C2212" s="236" t="s">
        <v>895</v>
      </c>
      <c r="D2212" s="361"/>
      <c r="E2212" s="164"/>
      <c r="F2212" s="165"/>
      <c r="G2212" s="197"/>
      <c r="H2212" s="157"/>
      <c r="I2212" s="157"/>
      <c r="J2212" s="157"/>
      <c r="K2212" s="158"/>
      <c r="L2212" s="155"/>
      <c r="M2212" s="156"/>
      <c r="N2212" s="250"/>
      <c r="O2212" s="157"/>
      <c r="P2212" s="248"/>
      <c r="Q2212" s="158"/>
      <c r="R2212" s="255"/>
      <c r="S2212" s="159"/>
      <c r="T2212" s="225"/>
      <c r="U2212" s="170"/>
      <c r="W2212" s="253"/>
    </row>
    <row r="2213" spans="1:23" hidden="1" outlineLevel="2">
      <c r="A2213" s="162"/>
      <c r="B2213" s="163"/>
      <c r="C2213" s="236" t="s">
        <v>896</v>
      </c>
      <c r="D2213" s="361"/>
      <c r="E2213" s="164"/>
      <c r="F2213" s="165"/>
      <c r="G2213" s="197"/>
      <c r="H2213" s="157"/>
      <c r="I2213" s="157"/>
      <c r="J2213" s="157"/>
      <c r="K2213" s="158"/>
      <c r="L2213" s="155"/>
      <c r="M2213" s="156"/>
      <c r="N2213" s="250"/>
      <c r="O2213" s="157"/>
      <c r="P2213" s="248"/>
      <c r="Q2213" s="158"/>
      <c r="R2213" s="255"/>
      <c r="S2213" s="159"/>
      <c r="T2213" s="225"/>
      <c r="U2213" s="170"/>
      <c r="W2213" s="253"/>
    </row>
    <row r="2214" spans="1:23" hidden="1" outlineLevel="2">
      <c r="A2214" s="162"/>
      <c r="B2214" s="163"/>
      <c r="C2214" s="236" t="s">
        <v>897</v>
      </c>
      <c r="D2214" s="361"/>
      <c r="E2214" s="164"/>
      <c r="F2214" s="165"/>
      <c r="G2214" s="197"/>
      <c r="H2214" s="157"/>
      <c r="I2214" s="157"/>
      <c r="J2214" s="157"/>
      <c r="K2214" s="158"/>
      <c r="L2214" s="155"/>
      <c r="M2214" s="156"/>
      <c r="N2214" s="250"/>
      <c r="O2214" s="157"/>
      <c r="P2214" s="248"/>
      <c r="Q2214" s="158"/>
      <c r="R2214" s="255"/>
      <c r="S2214" s="159"/>
      <c r="T2214" s="225"/>
      <c r="U2214" s="170"/>
      <c r="W2214" s="253"/>
    </row>
    <row r="2215" spans="1:23" hidden="1" outlineLevel="2">
      <c r="A2215" s="162"/>
      <c r="B2215" s="163"/>
      <c r="C2215" s="236" t="s">
        <v>898</v>
      </c>
      <c r="D2215" s="361"/>
      <c r="E2215" s="164"/>
      <c r="F2215" s="165"/>
      <c r="G2215" s="197"/>
      <c r="H2215" s="157"/>
      <c r="I2215" s="157"/>
      <c r="J2215" s="157"/>
      <c r="K2215" s="158"/>
      <c r="L2215" s="155"/>
      <c r="M2215" s="156"/>
      <c r="N2215" s="250"/>
      <c r="O2215" s="157"/>
      <c r="P2215" s="248"/>
      <c r="Q2215" s="158"/>
      <c r="R2215" s="255"/>
      <c r="S2215" s="159"/>
      <c r="T2215" s="225"/>
      <c r="U2215" s="170"/>
      <c r="W2215" s="253"/>
    </row>
    <row r="2216" spans="1:23" hidden="1" outlineLevel="2">
      <c r="A2216" s="162"/>
      <c r="B2216" s="163"/>
      <c r="C2216" s="236" t="s">
        <v>379</v>
      </c>
      <c r="D2216" s="361"/>
      <c r="E2216" s="164"/>
      <c r="F2216" s="165"/>
      <c r="G2216" s="197"/>
      <c r="H2216" s="157"/>
      <c r="I2216" s="157"/>
      <c r="J2216" s="157"/>
      <c r="K2216" s="158"/>
      <c r="L2216" s="155"/>
      <c r="M2216" s="156"/>
      <c r="N2216" s="250"/>
      <c r="O2216" s="157"/>
      <c r="P2216" s="248"/>
      <c r="Q2216" s="158"/>
      <c r="R2216" s="255"/>
      <c r="S2216" s="159"/>
      <c r="T2216" s="225"/>
      <c r="U2216" s="170"/>
      <c r="W2216" s="253"/>
    </row>
    <row r="2217" spans="1:23" hidden="1" outlineLevel="1" collapsed="1">
      <c r="A2217" s="162"/>
      <c r="B2217" s="163"/>
      <c r="C2217" s="151" t="s">
        <v>583</v>
      </c>
      <c r="D2217" s="339"/>
      <c r="E2217" s="164"/>
      <c r="F2217" s="165"/>
      <c r="G2217" s="197"/>
      <c r="H2217" s="157"/>
      <c r="I2217" s="157"/>
      <c r="J2217" s="157"/>
      <c r="K2217" s="158"/>
      <c r="L2217" s="155"/>
      <c r="M2217" s="156">
        <f>SUM(M2209:M2216)</f>
        <v>630000</v>
      </c>
      <c r="N2217" s="250">
        <f t="shared" ref="N2217:N2227" si="175">M2217*1.23</f>
        <v>774900</v>
      </c>
      <c r="O2217" s="157">
        <f>SUM(O2208:O2216)</f>
        <v>500000</v>
      </c>
      <c r="P2217" s="248">
        <f t="shared" ref="P2217" si="176">O2217*1.46</f>
        <v>730000</v>
      </c>
      <c r="Q2217" s="158"/>
      <c r="R2217" s="255"/>
      <c r="S2217" s="159">
        <f t="shared" ref="S2217:S2227" si="177">SUM(L2217,N2217,P2217,R2217)</f>
        <v>1504900</v>
      </c>
      <c r="T2217" s="225"/>
      <c r="U2217" s="170"/>
      <c r="W2217" s="310"/>
    </row>
    <row r="2218" spans="1:23" s="233" customFormat="1" hidden="1" outlineLevel="2">
      <c r="A2218" s="312"/>
      <c r="B2218" s="151" t="s">
        <v>556</v>
      </c>
      <c r="C2218" s="171"/>
      <c r="D2218" s="343"/>
      <c r="E2218" s="157"/>
      <c r="F2218" s="158"/>
      <c r="G2218" s="197"/>
      <c r="H2218" s="157"/>
      <c r="I2218" s="157"/>
      <c r="J2218" s="157"/>
      <c r="K2218" s="158"/>
      <c r="L2218" s="155"/>
      <c r="M2218" s="156"/>
      <c r="N2218" s="250">
        <f t="shared" si="175"/>
        <v>0</v>
      </c>
      <c r="O2218" s="157"/>
      <c r="P2218" s="248">
        <f t="shared" ref="P2218:P2226" si="178">O2218*1.44</f>
        <v>0</v>
      </c>
      <c r="Q2218" s="158"/>
      <c r="R2218" s="255"/>
      <c r="S2218" s="159">
        <f t="shared" si="177"/>
        <v>0</v>
      </c>
      <c r="T2218" s="225"/>
      <c r="U2218" s="161"/>
    </row>
    <row r="2219" spans="1:23" hidden="1" outlineLevel="2">
      <c r="A2219" s="162"/>
      <c r="B2219" s="163"/>
      <c r="C2219" s="236" t="s">
        <v>891</v>
      </c>
      <c r="D2219" s="361"/>
      <c r="E2219" s="164"/>
      <c r="F2219" s="165"/>
      <c r="G2219" s="197"/>
      <c r="H2219" s="157"/>
      <c r="I2219" s="157"/>
      <c r="J2219" s="157"/>
      <c r="K2219" s="158"/>
      <c r="L2219" s="155"/>
      <c r="M2219" s="156">
        <v>1715000</v>
      </c>
      <c r="N2219" s="250">
        <f t="shared" si="175"/>
        <v>2109450</v>
      </c>
      <c r="O2219" s="157"/>
      <c r="P2219" s="248">
        <f t="shared" si="178"/>
        <v>0</v>
      </c>
      <c r="Q2219" s="158"/>
      <c r="R2219" s="255"/>
      <c r="S2219" s="159">
        <f t="shared" si="177"/>
        <v>2109450</v>
      </c>
      <c r="T2219" s="225"/>
      <c r="U2219" s="170" t="s">
        <v>1174</v>
      </c>
      <c r="W2219" s="253"/>
    </row>
    <row r="2220" spans="1:23" hidden="1" outlineLevel="2">
      <c r="A2220" s="162"/>
      <c r="B2220" s="163"/>
      <c r="C2220" s="236" t="s">
        <v>893</v>
      </c>
      <c r="D2220" s="361"/>
      <c r="E2220" s="164"/>
      <c r="F2220" s="165"/>
      <c r="G2220" s="197"/>
      <c r="H2220" s="157"/>
      <c r="I2220" s="157"/>
      <c r="J2220" s="157"/>
      <c r="K2220" s="158"/>
      <c r="L2220" s="155"/>
      <c r="M2220" s="156"/>
      <c r="N2220" s="250">
        <f t="shared" si="175"/>
        <v>0</v>
      </c>
      <c r="O2220" s="157"/>
      <c r="P2220" s="248">
        <f t="shared" si="178"/>
        <v>0</v>
      </c>
      <c r="Q2220" s="158"/>
      <c r="R2220" s="255"/>
      <c r="S2220" s="159">
        <f t="shared" si="177"/>
        <v>0</v>
      </c>
      <c r="T2220" s="225"/>
      <c r="U2220" s="170"/>
      <c r="W2220" s="253"/>
    </row>
    <row r="2221" spans="1:23" hidden="1" outlineLevel="2">
      <c r="A2221" s="162"/>
      <c r="B2221" s="163"/>
      <c r="C2221" s="236" t="s">
        <v>894</v>
      </c>
      <c r="D2221" s="361"/>
      <c r="E2221" s="164"/>
      <c r="F2221" s="165"/>
      <c r="G2221" s="197"/>
      <c r="H2221" s="157"/>
      <c r="I2221" s="157"/>
      <c r="J2221" s="157"/>
      <c r="K2221" s="158"/>
      <c r="L2221" s="155"/>
      <c r="M2221" s="156"/>
      <c r="N2221" s="250">
        <f t="shared" si="175"/>
        <v>0</v>
      </c>
      <c r="O2221" s="157"/>
      <c r="P2221" s="248">
        <f t="shared" si="178"/>
        <v>0</v>
      </c>
      <c r="Q2221" s="158"/>
      <c r="R2221" s="255"/>
      <c r="S2221" s="159">
        <f t="shared" si="177"/>
        <v>0</v>
      </c>
      <c r="T2221" s="225"/>
      <c r="U2221" s="170"/>
      <c r="W2221" s="253"/>
    </row>
    <row r="2222" spans="1:23" hidden="1" outlineLevel="2">
      <c r="A2222" s="162"/>
      <c r="B2222" s="163"/>
      <c r="C2222" s="236" t="s">
        <v>895</v>
      </c>
      <c r="D2222" s="361"/>
      <c r="E2222" s="164"/>
      <c r="F2222" s="165"/>
      <c r="G2222" s="197"/>
      <c r="H2222" s="157"/>
      <c r="I2222" s="157"/>
      <c r="J2222" s="157"/>
      <c r="K2222" s="158"/>
      <c r="L2222" s="155"/>
      <c r="M2222" s="156"/>
      <c r="N2222" s="250">
        <f t="shared" si="175"/>
        <v>0</v>
      </c>
      <c r="O2222" s="157"/>
      <c r="P2222" s="248">
        <f t="shared" si="178"/>
        <v>0</v>
      </c>
      <c r="Q2222" s="158"/>
      <c r="R2222" s="255"/>
      <c r="S2222" s="159">
        <f t="shared" si="177"/>
        <v>0</v>
      </c>
      <c r="T2222" s="225"/>
      <c r="U2222" s="170"/>
      <c r="W2222" s="253"/>
    </row>
    <row r="2223" spans="1:23" hidden="1" outlineLevel="2">
      <c r="A2223" s="162"/>
      <c r="B2223" s="163"/>
      <c r="C2223" s="236" t="s">
        <v>896</v>
      </c>
      <c r="D2223" s="361"/>
      <c r="E2223" s="164"/>
      <c r="F2223" s="165"/>
      <c r="G2223" s="197"/>
      <c r="H2223" s="157"/>
      <c r="I2223" s="157"/>
      <c r="J2223" s="157"/>
      <c r="K2223" s="158"/>
      <c r="L2223" s="155"/>
      <c r="M2223" s="156"/>
      <c r="N2223" s="250">
        <f t="shared" si="175"/>
        <v>0</v>
      </c>
      <c r="O2223" s="157"/>
      <c r="P2223" s="248">
        <f t="shared" si="178"/>
        <v>0</v>
      </c>
      <c r="Q2223" s="158"/>
      <c r="R2223" s="255"/>
      <c r="S2223" s="159">
        <f t="shared" si="177"/>
        <v>0</v>
      </c>
      <c r="T2223" s="225"/>
      <c r="U2223" s="170"/>
      <c r="W2223" s="253"/>
    </row>
    <row r="2224" spans="1:23" hidden="1" outlineLevel="2">
      <c r="A2224" s="162"/>
      <c r="B2224" s="163"/>
      <c r="C2224" s="236" t="s">
        <v>897</v>
      </c>
      <c r="D2224" s="361"/>
      <c r="E2224" s="164"/>
      <c r="F2224" s="165"/>
      <c r="G2224" s="197"/>
      <c r="H2224" s="157"/>
      <c r="I2224" s="157"/>
      <c r="J2224" s="157"/>
      <c r="K2224" s="158"/>
      <c r="L2224" s="155"/>
      <c r="M2224" s="156"/>
      <c r="N2224" s="250">
        <f t="shared" si="175"/>
        <v>0</v>
      </c>
      <c r="O2224" s="157"/>
      <c r="P2224" s="248">
        <f t="shared" si="178"/>
        <v>0</v>
      </c>
      <c r="Q2224" s="158"/>
      <c r="R2224" s="255"/>
      <c r="S2224" s="159">
        <f t="shared" si="177"/>
        <v>0</v>
      </c>
      <c r="T2224" s="225"/>
      <c r="U2224" s="170"/>
      <c r="W2224" s="253"/>
    </row>
    <row r="2225" spans="1:23" hidden="1" outlineLevel="2">
      <c r="A2225" s="162"/>
      <c r="B2225" s="163"/>
      <c r="C2225" s="236" t="s">
        <v>898</v>
      </c>
      <c r="D2225" s="361"/>
      <c r="E2225" s="164"/>
      <c r="F2225" s="165"/>
      <c r="G2225" s="197"/>
      <c r="H2225" s="157"/>
      <c r="I2225" s="157"/>
      <c r="J2225" s="157"/>
      <c r="K2225" s="158"/>
      <c r="L2225" s="155"/>
      <c r="M2225" s="156"/>
      <c r="N2225" s="250">
        <f t="shared" si="175"/>
        <v>0</v>
      </c>
      <c r="O2225" s="157"/>
      <c r="P2225" s="248">
        <f t="shared" si="178"/>
        <v>0</v>
      </c>
      <c r="Q2225" s="158"/>
      <c r="R2225" s="255"/>
      <c r="S2225" s="159">
        <f t="shared" si="177"/>
        <v>0</v>
      </c>
      <c r="T2225" s="225"/>
      <c r="U2225" s="170"/>
      <c r="W2225" s="253"/>
    </row>
    <row r="2226" spans="1:23" hidden="1" outlineLevel="2">
      <c r="A2226" s="162"/>
      <c r="B2226" s="163"/>
      <c r="C2226" s="236" t="s">
        <v>379</v>
      </c>
      <c r="D2226" s="361"/>
      <c r="E2226" s="164"/>
      <c r="F2226" s="165"/>
      <c r="G2226" s="197"/>
      <c r="H2226" s="157"/>
      <c r="I2226" s="157"/>
      <c r="J2226" s="157"/>
      <c r="K2226" s="158"/>
      <c r="L2226" s="155"/>
      <c r="M2226" s="156"/>
      <c r="N2226" s="250">
        <f t="shared" si="175"/>
        <v>0</v>
      </c>
      <c r="O2226" s="157"/>
      <c r="P2226" s="248">
        <f t="shared" si="178"/>
        <v>0</v>
      </c>
      <c r="Q2226" s="158"/>
      <c r="R2226" s="255"/>
      <c r="S2226" s="159">
        <f t="shared" si="177"/>
        <v>0</v>
      </c>
      <c r="T2226" s="225"/>
      <c r="U2226" s="170"/>
      <c r="W2226" s="253"/>
    </row>
    <row r="2227" spans="1:23" hidden="1" outlineLevel="1" collapsed="1">
      <c r="A2227" s="162"/>
      <c r="B2227" s="163"/>
      <c r="C2227" s="151" t="s">
        <v>556</v>
      </c>
      <c r="D2227" s="339"/>
      <c r="E2227" s="164"/>
      <c r="F2227" s="165"/>
      <c r="G2227" s="197"/>
      <c r="H2227" s="157"/>
      <c r="I2227" s="157"/>
      <c r="J2227" s="157"/>
      <c r="K2227" s="158"/>
      <c r="L2227" s="155"/>
      <c r="M2227" s="156">
        <f>SUM(M2218:M2226)</f>
        <v>1715000</v>
      </c>
      <c r="N2227" s="250">
        <f t="shared" si="175"/>
        <v>2109450</v>
      </c>
      <c r="O2227" s="157"/>
      <c r="P2227" s="248"/>
      <c r="Q2227" s="158"/>
      <c r="R2227" s="255"/>
      <c r="S2227" s="159">
        <f t="shared" si="177"/>
        <v>2109450</v>
      </c>
      <c r="T2227" s="225"/>
      <c r="U2227" s="170"/>
      <c r="W2227" s="310"/>
    </row>
    <row r="2228" spans="1:23" s="233" customFormat="1" hidden="1" outlineLevel="2">
      <c r="A2228" s="312"/>
      <c r="B2228" s="151" t="s">
        <v>929</v>
      </c>
      <c r="C2228" s="171"/>
      <c r="D2228" s="343"/>
      <c r="E2228" s="157"/>
      <c r="F2228" s="158"/>
      <c r="G2228" s="197"/>
      <c r="H2228" s="157"/>
      <c r="I2228" s="157"/>
      <c r="J2228" s="157"/>
      <c r="K2228" s="158"/>
      <c r="L2228" s="155"/>
      <c r="M2228" s="156"/>
      <c r="N2228" s="250">
        <f t="shared" ref="N2228:N2236" si="179">M2228*1.24</f>
        <v>0</v>
      </c>
      <c r="O2228" s="157"/>
      <c r="P2228" s="248"/>
      <c r="Q2228" s="158"/>
      <c r="R2228" s="255"/>
      <c r="S2228" s="159"/>
      <c r="T2228" s="225"/>
      <c r="U2228" s="161"/>
    </row>
    <row r="2229" spans="1:23" hidden="1" outlineLevel="2">
      <c r="A2229" s="162"/>
      <c r="B2229" s="163"/>
      <c r="C2229" s="236" t="s">
        <v>891</v>
      </c>
      <c r="D2229" s="361"/>
      <c r="E2229" s="164"/>
      <c r="F2229" s="165"/>
      <c r="G2229" s="197"/>
      <c r="H2229" s="157"/>
      <c r="I2229" s="157"/>
      <c r="J2229" s="157"/>
      <c r="K2229" s="158"/>
      <c r="L2229" s="155"/>
      <c r="M2229" s="156"/>
      <c r="N2229" s="250">
        <f t="shared" si="179"/>
        <v>0</v>
      </c>
      <c r="O2229" s="157"/>
      <c r="P2229" s="248"/>
      <c r="Q2229" s="158"/>
      <c r="R2229" s="255"/>
      <c r="S2229" s="159"/>
      <c r="T2229" s="225"/>
      <c r="U2229" s="170"/>
      <c r="W2229" s="253"/>
    </row>
    <row r="2230" spans="1:23" hidden="1" outlineLevel="2">
      <c r="A2230" s="162"/>
      <c r="B2230" s="163"/>
      <c r="C2230" s="236" t="s">
        <v>893</v>
      </c>
      <c r="D2230" s="361"/>
      <c r="E2230" s="164"/>
      <c r="F2230" s="165"/>
      <c r="G2230" s="197"/>
      <c r="H2230" s="157"/>
      <c r="I2230" s="157"/>
      <c r="J2230" s="157"/>
      <c r="K2230" s="158"/>
      <c r="L2230" s="155"/>
      <c r="M2230" s="156"/>
      <c r="N2230" s="250">
        <f t="shared" si="179"/>
        <v>0</v>
      </c>
      <c r="O2230" s="157"/>
      <c r="P2230" s="248"/>
      <c r="Q2230" s="158"/>
      <c r="R2230" s="255"/>
      <c r="S2230" s="159"/>
      <c r="T2230" s="225"/>
      <c r="U2230" s="170"/>
      <c r="W2230" s="253"/>
    </row>
    <row r="2231" spans="1:23" hidden="1" outlineLevel="2">
      <c r="A2231" s="162"/>
      <c r="B2231" s="163"/>
      <c r="C2231" s="236" t="s">
        <v>894</v>
      </c>
      <c r="D2231" s="361"/>
      <c r="E2231" s="164"/>
      <c r="F2231" s="165"/>
      <c r="G2231" s="197"/>
      <c r="H2231" s="157"/>
      <c r="I2231" s="157"/>
      <c r="J2231" s="157"/>
      <c r="K2231" s="158"/>
      <c r="L2231" s="155"/>
      <c r="M2231" s="156"/>
      <c r="N2231" s="250">
        <f t="shared" si="179"/>
        <v>0</v>
      </c>
      <c r="O2231" s="157"/>
      <c r="P2231" s="248"/>
      <c r="Q2231" s="158"/>
      <c r="R2231" s="255"/>
      <c r="S2231" s="159"/>
      <c r="T2231" s="225"/>
      <c r="U2231" s="170"/>
      <c r="W2231" s="253"/>
    </row>
    <row r="2232" spans="1:23" hidden="1" outlineLevel="2">
      <c r="A2232" s="162"/>
      <c r="B2232" s="163"/>
      <c r="C2232" s="236" t="s">
        <v>895</v>
      </c>
      <c r="D2232" s="361"/>
      <c r="E2232" s="164"/>
      <c r="F2232" s="165"/>
      <c r="G2232" s="197"/>
      <c r="H2232" s="157"/>
      <c r="I2232" s="157"/>
      <c r="J2232" s="157"/>
      <c r="K2232" s="158"/>
      <c r="L2232" s="155"/>
      <c r="M2232" s="156"/>
      <c r="N2232" s="250">
        <f t="shared" si="179"/>
        <v>0</v>
      </c>
      <c r="O2232" s="157"/>
      <c r="P2232" s="248"/>
      <c r="Q2232" s="158"/>
      <c r="R2232" s="255"/>
      <c r="S2232" s="159"/>
      <c r="T2232" s="225"/>
      <c r="U2232" s="170"/>
      <c r="W2232" s="253"/>
    </row>
    <row r="2233" spans="1:23" hidden="1" outlineLevel="2">
      <c r="A2233" s="162"/>
      <c r="B2233" s="163"/>
      <c r="C2233" s="236" t="s">
        <v>896</v>
      </c>
      <c r="D2233" s="361"/>
      <c r="E2233" s="164"/>
      <c r="F2233" s="165"/>
      <c r="G2233" s="197"/>
      <c r="H2233" s="157"/>
      <c r="I2233" s="157"/>
      <c r="J2233" s="157"/>
      <c r="K2233" s="158"/>
      <c r="L2233" s="155"/>
      <c r="M2233" s="156"/>
      <c r="N2233" s="250">
        <f t="shared" si="179"/>
        <v>0</v>
      </c>
      <c r="O2233" s="157"/>
      <c r="P2233" s="248"/>
      <c r="Q2233" s="158"/>
      <c r="R2233" s="255"/>
      <c r="S2233" s="159"/>
      <c r="T2233" s="225"/>
      <c r="U2233" s="170"/>
      <c r="W2233" s="253"/>
    </row>
    <row r="2234" spans="1:23" hidden="1" outlineLevel="2">
      <c r="A2234" s="162"/>
      <c r="B2234" s="163"/>
      <c r="C2234" s="236" t="s">
        <v>897</v>
      </c>
      <c r="D2234" s="361"/>
      <c r="E2234" s="164"/>
      <c r="F2234" s="165"/>
      <c r="G2234" s="197"/>
      <c r="H2234" s="157"/>
      <c r="I2234" s="157"/>
      <c r="J2234" s="157"/>
      <c r="K2234" s="158"/>
      <c r="L2234" s="155"/>
      <c r="M2234" s="156"/>
      <c r="N2234" s="250">
        <f t="shared" si="179"/>
        <v>0</v>
      </c>
      <c r="O2234" s="157"/>
      <c r="P2234" s="248"/>
      <c r="Q2234" s="158"/>
      <c r="R2234" s="255"/>
      <c r="S2234" s="159"/>
      <c r="T2234" s="225"/>
      <c r="U2234" s="170"/>
      <c r="W2234" s="253"/>
    </row>
    <row r="2235" spans="1:23" hidden="1" outlineLevel="2">
      <c r="A2235" s="162"/>
      <c r="B2235" s="163"/>
      <c r="C2235" s="236" t="s">
        <v>898</v>
      </c>
      <c r="D2235" s="361"/>
      <c r="E2235" s="164"/>
      <c r="F2235" s="165"/>
      <c r="G2235" s="197"/>
      <c r="H2235" s="157"/>
      <c r="I2235" s="157"/>
      <c r="J2235" s="157"/>
      <c r="K2235" s="158"/>
      <c r="L2235" s="155"/>
      <c r="M2235" s="156"/>
      <c r="N2235" s="250">
        <f t="shared" si="179"/>
        <v>0</v>
      </c>
      <c r="O2235" s="157"/>
      <c r="P2235" s="248"/>
      <c r="Q2235" s="158"/>
      <c r="R2235" s="255"/>
      <c r="S2235" s="159"/>
      <c r="T2235" s="225"/>
      <c r="U2235" s="170"/>
      <c r="W2235" s="253"/>
    </row>
    <row r="2236" spans="1:23" hidden="1" outlineLevel="2">
      <c r="A2236" s="162"/>
      <c r="B2236" s="163"/>
      <c r="C2236" s="236" t="s">
        <v>379</v>
      </c>
      <c r="D2236" s="361"/>
      <c r="E2236" s="164"/>
      <c r="F2236" s="165"/>
      <c r="G2236" s="197"/>
      <c r="H2236" s="157"/>
      <c r="I2236" s="157"/>
      <c r="J2236" s="157"/>
      <c r="K2236" s="158"/>
      <c r="L2236" s="155"/>
      <c r="M2236" s="156"/>
      <c r="N2236" s="250">
        <f t="shared" si="179"/>
        <v>0</v>
      </c>
      <c r="O2236" s="157"/>
      <c r="P2236" s="248"/>
      <c r="Q2236" s="158"/>
      <c r="R2236" s="255"/>
      <c r="S2236" s="159"/>
      <c r="T2236" s="225"/>
      <c r="U2236" s="170"/>
      <c r="W2236" s="253"/>
    </row>
    <row r="2237" spans="1:23" hidden="1" outlineLevel="1" collapsed="1">
      <c r="A2237" s="162"/>
      <c r="B2237" s="163"/>
      <c r="C2237" s="151" t="s">
        <v>929</v>
      </c>
      <c r="D2237" s="339"/>
      <c r="E2237" s="164"/>
      <c r="F2237" s="165"/>
      <c r="G2237" s="197"/>
      <c r="H2237" s="157"/>
      <c r="I2237" s="157"/>
      <c r="J2237" s="157"/>
      <c r="K2237" s="158"/>
      <c r="L2237" s="155"/>
      <c r="M2237" s="156"/>
      <c r="N2237" s="250"/>
      <c r="O2237" s="157"/>
      <c r="P2237" s="248"/>
      <c r="Q2237" s="158"/>
      <c r="R2237" s="255"/>
      <c r="S2237" s="159"/>
      <c r="T2237" s="225"/>
      <c r="U2237" s="170" t="s">
        <v>930</v>
      </c>
      <c r="W2237" s="310"/>
    </row>
    <row r="2238" spans="1:23" s="233" customFormat="1" hidden="1" outlineLevel="2">
      <c r="A2238" s="312"/>
      <c r="B2238" s="151" t="s">
        <v>544</v>
      </c>
      <c r="C2238" s="171"/>
      <c r="D2238" s="343"/>
      <c r="E2238" s="157"/>
      <c r="F2238" s="158"/>
      <c r="G2238" s="197"/>
      <c r="H2238" s="157"/>
      <c r="I2238" s="157"/>
      <c r="J2238" s="157"/>
      <c r="K2238" s="158"/>
      <c r="L2238" s="155"/>
      <c r="M2238" s="156"/>
      <c r="N2238" s="250"/>
      <c r="O2238" s="157"/>
      <c r="P2238" s="248"/>
      <c r="Q2238" s="158"/>
      <c r="R2238" s="255"/>
      <c r="S2238" s="159"/>
      <c r="T2238" s="225"/>
      <c r="U2238" s="161"/>
    </row>
    <row r="2239" spans="1:23" hidden="1" outlineLevel="2">
      <c r="A2239" s="162"/>
      <c r="B2239" s="163"/>
      <c r="C2239" s="236" t="s">
        <v>891</v>
      </c>
      <c r="D2239" s="361"/>
      <c r="E2239" s="164"/>
      <c r="F2239" s="165"/>
      <c r="G2239" s="197"/>
      <c r="H2239" s="157"/>
      <c r="I2239" s="157"/>
      <c r="J2239" s="157"/>
      <c r="K2239" s="158"/>
      <c r="L2239" s="155"/>
      <c r="M2239" s="156"/>
      <c r="N2239" s="250"/>
      <c r="O2239" s="157"/>
      <c r="P2239" s="248"/>
      <c r="Q2239" s="158"/>
      <c r="R2239" s="255"/>
      <c r="S2239" s="159"/>
      <c r="T2239" s="225"/>
      <c r="U2239" s="170"/>
      <c r="W2239" s="253"/>
    </row>
    <row r="2240" spans="1:23" hidden="1" outlineLevel="2">
      <c r="A2240" s="162"/>
      <c r="B2240" s="163"/>
      <c r="C2240" s="236" t="s">
        <v>893</v>
      </c>
      <c r="D2240" s="361"/>
      <c r="E2240" s="164"/>
      <c r="F2240" s="165"/>
      <c r="G2240" s="197"/>
      <c r="H2240" s="157"/>
      <c r="I2240" s="157"/>
      <c r="J2240" s="157"/>
      <c r="K2240" s="158"/>
      <c r="L2240" s="155"/>
      <c r="M2240" s="156"/>
      <c r="N2240" s="250"/>
      <c r="O2240" s="157"/>
      <c r="P2240" s="248"/>
      <c r="Q2240" s="158"/>
      <c r="R2240" s="255"/>
      <c r="S2240" s="159"/>
      <c r="T2240" s="225"/>
      <c r="U2240" s="170"/>
      <c r="W2240" s="253"/>
    </row>
    <row r="2241" spans="1:23" hidden="1" outlineLevel="2">
      <c r="A2241" s="162"/>
      <c r="B2241" s="163"/>
      <c r="C2241" s="236" t="s">
        <v>894</v>
      </c>
      <c r="D2241" s="361"/>
      <c r="E2241" s="164"/>
      <c r="F2241" s="165"/>
      <c r="G2241" s="197"/>
      <c r="H2241" s="157"/>
      <c r="I2241" s="157"/>
      <c r="J2241" s="157"/>
      <c r="K2241" s="158"/>
      <c r="L2241" s="155"/>
      <c r="M2241" s="156"/>
      <c r="N2241" s="250"/>
      <c r="O2241" s="157"/>
      <c r="P2241" s="248"/>
      <c r="Q2241" s="158"/>
      <c r="R2241" s="255"/>
      <c r="S2241" s="159"/>
      <c r="T2241" s="225"/>
      <c r="U2241" s="170"/>
      <c r="W2241" s="253"/>
    </row>
    <row r="2242" spans="1:23" hidden="1" outlineLevel="2">
      <c r="A2242" s="162"/>
      <c r="B2242" s="163"/>
      <c r="C2242" s="236" t="s">
        <v>895</v>
      </c>
      <c r="D2242" s="361"/>
      <c r="E2242" s="164"/>
      <c r="F2242" s="165"/>
      <c r="G2242" s="197"/>
      <c r="H2242" s="157"/>
      <c r="I2242" s="157"/>
      <c r="J2242" s="157"/>
      <c r="K2242" s="158"/>
      <c r="L2242" s="155"/>
      <c r="M2242" s="156"/>
      <c r="N2242" s="250"/>
      <c r="O2242" s="157"/>
      <c r="P2242" s="248"/>
      <c r="Q2242" s="158"/>
      <c r="R2242" s="255"/>
      <c r="S2242" s="159"/>
      <c r="T2242" s="225"/>
      <c r="U2242" s="170"/>
      <c r="W2242" s="253"/>
    </row>
    <row r="2243" spans="1:23" hidden="1" outlineLevel="2">
      <c r="A2243" s="162"/>
      <c r="B2243" s="163"/>
      <c r="C2243" s="236" t="s">
        <v>896</v>
      </c>
      <c r="D2243" s="361"/>
      <c r="E2243" s="164"/>
      <c r="F2243" s="165"/>
      <c r="G2243" s="197"/>
      <c r="H2243" s="157"/>
      <c r="I2243" s="157"/>
      <c r="J2243" s="157"/>
      <c r="K2243" s="158"/>
      <c r="L2243" s="155"/>
      <c r="M2243" s="156"/>
      <c r="N2243" s="250"/>
      <c r="O2243" s="157"/>
      <c r="P2243" s="248"/>
      <c r="Q2243" s="158"/>
      <c r="R2243" s="255"/>
      <c r="S2243" s="159"/>
      <c r="T2243" s="225"/>
      <c r="U2243" s="170"/>
      <c r="W2243" s="253"/>
    </row>
    <row r="2244" spans="1:23" hidden="1" outlineLevel="2">
      <c r="A2244" s="162"/>
      <c r="B2244" s="163"/>
      <c r="C2244" s="236" t="s">
        <v>897</v>
      </c>
      <c r="D2244" s="361"/>
      <c r="E2244" s="164"/>
      <c r="F2244" s="165"/>
      <c r="G2244" s="197"/>
      <c r="H2244" s="157"/>
      <c r="I2244" s="157"/>
      <c r="J2244" s="157"/>
      <c r="K2244" s="158"/>
      <c r="L2244" s="155"/>
      <c r="M2244" s="156"/>
      <c r="N2244" s="250"/>
      <c r="O2244" s="157"/>
      <c r="P2244" s="248"/>
      <c r="Q2244" s="158"/>
      <c r="R2244" s="255"/>
      <c r="S2244" s="159"/>
      <c r="T2244" s="225"/>
      <c r="U2244" s="170"/>
      <c r="W2244" s="253"/>
    </row>
    <row r="2245" spans="1:23" hidden="1" outlineLevel="2">
      <c r="A2245" s="162"/>
      <c r="B2245" s="163"/>
      <c r="C2245" s="236" t="s">
        <v>898</v>
      </c>
      <c r="D2245" s="361"/>
      <c r="E2245" s="164"/>
      <c r="F2245" s="165"/>
      <c r="G2245" s="197"/>
      <c r="H2245" s="157"/>
      <c r="I2245" s="157"/>
      <c r="J2245" s="157"/>
      <c r="K2245" s="158"/>
      <c r="L2245" s="155"/>
      <c r="M2245" s="156"/>
      <c r="N2245" s="250"/>
      <c r="O2245" s="157"/>
      <c r="P2245" s="248"/>
      <c r="Q2245" s="158"/>
      <c r="R2245" s="255"/>
      <c r="S2245" s="159"/>
      <c r="T2245" s="225"/>
      <c r="U2245" s="170"/>
      <c r="W2245" s="253"/>
    </row>
    <row r="2246" spans="1:23" hidden="1" outlineLevel="2">
      <c r="A2246" s="162"/>
      <c r="B2246" s="163"/>
      <c r="C2246" s="236" t="s">
        <v>379</v>
      </c>
      <c r="D2246" s="361"/>
      <c r="E2246" s="164"/>
      <c r="F2246" s="165"/>
      <c r="G2246" s="197"/>
      <c r="H2246" s="157"/>
      <c r="I2246" s="157"/>
      <c r="J2246" s="157"/>
      <c r="K2246" s="158"/>
      <c r="L2246" s="155"/>
      <c r="M2246" s="156"/>
      <c r="N2246" s="250"/>
      <c r="O2246" s="157"/>
      <c r="P2246" s="248"/>
      <c r="Q2246" s="158"/>
      <c r="R2246" s="255"/>
      <c r="S2246" s="159"/>
      <c r="T2246" s="225"/>
      <c r="U2246" s="170"/>
      <c r="W2246" s="253"/>
    </row>
    <row r="2247" spans="1:23" hidden="1" outlineLevel="1" collapsed="1">
      <c r="A2247" s="162"/>
      <c r="B2247" s="163"/>
      <c r="C2247" s="151" t="s">
        <v>544</v>
      </c>
      <c r="D2247" s="339"/>
      <c r="E2247" s="164"/>
      <c r="F2247" s="165"/>
      <c r="G2247" s="197"/>
      <c r="H2247" s="157"/>
      <c r="I2247" s="157"/>
      <c r="J2247" s="157"/>
      <c r="K2247" s="158"/>
      <c r="L2247" s="155"/>
      <c r="M2247" s="156"/>
      <c r="N2247" s="250"/>
      <c r="O2247" s="157"/>
      <c r="P2247" s="248"/>
      <c r="Q2247" s="158"/>
      <c r="R2247" s="255"/>
      <c r="S2247" s="159"/>
      <c r="T2247" s="225"/>
      <c r="U2247" s="170"/>
      <c r="W2247" s="310"/>
    </row>
    <row r="2248" spans="1:23" s="233" customFormat="1" hidden="1" outlineLevel="2">
      <c r="A2248" s="312"/>
      <c r="B2248" s="151" t="s">
        <v>931</v>
      </c>
      <c r="C2248" s="171"/>
      <c r="D2248" s="343"/>
      <c r="E2248" s="157"/>
      <c r="F2248" s="158"/>
      <c r="G2248" s="197"/>
      <c r="H2248" s="157"/>
      <c r="I2248" s="157"/>
      <c r="J2248" s="157"/>
      <c r="K2248" s="158"/>
      <c r="L2248" s="155"/>
      <c r="M2248" s="156"/>
      <c r="N2248" s="250"/>
      <c r="O2248" s="157"/>
      <c r="P2248" s="248"/>
      <c r="Q2248" s="158"/>
      <c r="R2248" s="255"/>
      <c r="S2248" s="159"/>
      <c r="T2248" s="225"/>
      <c r="U2248" s="161"/>
    </row>
    <row r="2249" spans="1:23" hidden="1" outlineLevel="2">
      <c r="A2249" s="162"/>
      <c r="B2249" s="163"/>
      <c r="C2249" s="236" t="s">
        <v>891</v>
      </c>
      <c r="D2249" s="361"/>
      <c r="E2249" s="164"/>
      <c r="F2249" s="165"/>
      <c r="G2249" s="197"/>
      <c r="H2249" s="157"/>
      <c r="I2249" s="157"/>
      <c r="J2249" s="157"/>
      <c r="K2249" s="158"/>
      <c r="L2249" s="155"/>
      <c r="M2249" s="156"/>
      <c r="N2249" s="250"/>
      <c r="O2249" s="157"/>
      <c r="P2249" s="248"/>
      <c r="Q2249" s="158"/>
      <c r="R2249" s="255"/>
      <c r="S2249" s="159"/>
      <c r="T2249" s="225"/>
      <c r="U2249" s="170"/>
      <c r="W2249" s="253"/>
    </row>
    <row r="2250" spans="1:23" hidden="1" outlineLevel="2">
      <c r="A2250" s="162"/>
      <c r="B2250" s="163"/>
      <c r="C2250" s="236" t="s">
        <v>893</v>
      </c>
      <c r="D2250" s="361"/>
      <c r="E2250" s="164"/>
      <c r="F2250" s="165"/>
      <c r="G2250" s="197"/>
      <c r="H2250" s="157"/>
      <c r="I2250" s="157"/>
      <c r="J2250" s="157"/>
      <c r="K2250" s="158"/>
      <c r="L2250" s="155"/>
      <c r="M2250" s="156"/>
      <c r="N2250" s="250"/>
      <c r="O2250" s="157"/>
      <c r="P2250" s="248"/>
      <c r="Q2250" s="158"/>
      <c r="R2250" s="255"/>
      <c r="S2250" s="159"/>
      <c r="T2250" s="225"/>
      <c r="U2250" s="170"/>
      <c r="W2250" s="253"/>
    </row>
    <row r="2251" spans="1:23" hidden="1" outlineLevel="2">
      <c r="A2251" s="162"/>
      <c r="B2251" s="163"/>
      <c r="C2251" s="236" t="s">
        <v>894</v>
      </c>
      <c r="D2251" s="361"/>
      <c r="E2251" s="164"/>
      <c r="F2251" s="165"/>
      <c r="G2251" s="197"/>
      <c r="H2251" s="157"/>
      <c r="I2251" s="157"/>
      <c r="J2251" s="157"/>
      <c r="K2251" s="158"/>
      <c r="L2251" s="155"/>
      <c r="M2251" s="156"/>
      <c r="N2251" s="250"/>
      <c r="O2251" s="157"/>
      <c r="P2251" s="248"/>
      <c r="Q2251" s="158"/>
      <c r="R2251" s="255"/>
      <c r="S2251" s="159"/>
      <c r="T2251" s="225"/>
      <c r="U2251" s="170"/>
      <c r="W2251" s="253"/>
    </row>
    <row r="2252" spans="1:23" hidden="1" outlineLevel="2">
      <c r="A2252" s="162"/>
      <c r="B2252" s="163"/>
      <c r="C2252" s="236" t="s">
        <v>895</v>
      </c>
      <c r="D2252" s="361"/>
      <c r="E2252" s="164"/>
      <c r="F2252" s="165"/>
      <c r="G2252" s="197"/>
      <c r="H2252" s="157"/>
      <c r="I2252" s="157"/>
      <c r="J2252" s="157"/>
      <c r="K2252" s="158"/>
      <c r="L2252" s="155"/>
      <c r="M2252" s="156"/>
      <c r="N2252" s="250"/>
      <c r="O2252" s="157"/>
      <c r="P2252" s="248"/>
      <c r="Q2252" s="158"/>
      <c r="R2252" s="255"/>
      <c r="S2252" s="159"/>
      <c r="T2252" s="225"/>
      <c r="U2252" s="170"/>
      <c r="W2252" s="253"/>
    </row>
    <row r="2253" spans="1:23" hidden="1" outlineLevel="2">
      <c r="A2253" s="162"/>
      <c r="B2253" s="163"/>
      <c r="C2253" s="236" t="s">
        <v>896</v>
      </c>
      <c r="D2253" s="361"/>
      <c r="E2253" s="164"/>
      <c r="F2253" s="165"/>
      <c r="G2253" s="197"/>
      <c r="H2253" s="157"/>
      <c r="I2253" s="157"/>
      <c r="J2253" s="157"/>
      <c r="K2253" s="158"/>
      <c r="L2253" s="155"/>
      <c r="M2253" s="156"/>
      <c r="N2253" s="250"/>
      <c r="O2253" s="157"/>
      <c r="P2253" s="248"/>
      <c r="Q2253" s="158"/>
      <c r="R2253" s="255"/>
      <c r="S2253" s="159"/>
      <c r="T2253" s="225"/>
      <c r="U2253" s="170"/>
      <c r="W2253" s="253"/>
    </row>
    <row r="2254" spans="1:23" hidden="1" outlineLevel="2">
      <c r="A2254" s="162"/>
      <c r="B2254" s="163"/>
      <c r="C2254" s="236" t="s">
        <v>897</v>
      </c>
      <c r="D2254" s="361"/>
      <c r="E2254" s="164"/>
      <c r="F2254" s="165"/>
      <c r="G2254" s="197"/>
      <c r="H2254" s="157"/>
      <c r="I2254" s="157"/>
      <c r="J2254" s="157"/>
      <c r="K2254" s="158"/>
      <c r="L2254" s="155"/>
      <c r="M2254" s="156"/>
      <c r="N2254" s="250"/>
      <c r="O2254" s="157"/>
      <c r="P2254" s="248"/>
      <c r="Q2254" s="158"/>
      <c r="R2254" s="255"/>
      <c r="S2254" s="159"/>
      <c r="T2254" s="225"/>
      <c r="U2254" s="170"/>
      <c r="W2254" s="253"/>
    </row>
    <row r="2255" spans="1:23" hidden="1" outlineLevel="2">
      <c r="A2255" s="162"/>
      <c r="B2255" s="163"/>
      <c r="C2255" s="236" t="s">
        <v>898</v>
      </c>
      <c r="D2255" s="361"/>
      <c r="E2255" s="164"/>
      <c r="F2255" s="165"/>
      <c r="G2255" s="197"/>
      <c r="H2255" s="157"/>
      <c r="I2255" s="157"/>
      <c r="J2255" s="157"/>
      <c r="K2255" s="158"/>
      <c r="L2255" s="155"/>
      <c r="M2255" s="156"/>
      <c r="N2255" s="250"/>
      <c r="O2255" s="157"/>
      <c r="P2255" s="248"/>
      <c r="Q2255" s="158"/>
      <c r="R2255" s="255"/>
      <c r="S2255" s="159"/>
      <c r="T2255" s="225"/>
      <c r="U2255" s="170"/>
      <c r="W2255" s="253"/>
    </row>
    <row r="2256" spans="1:23" hidden="1" outlineLevel="2">
      <c r="A2256" s="162"/>
      <c r="B2256" s="163"/>
      <c r="C2256" s="236" t="s">
        <v>379</v>
      </c>
      <c r="D2256" s="361"/>
      <c r="E2256" s="164"/>
      <c r="F2256" s="165"/>
      <c r="G2256" s="197"/>
      <c r="H2256" s="157"/>
      <c r="I2256" s="157"/>
      <c r="J2256" s="157"/>
      <c r="K2256" s="158"/>
      <c r="L2256" s="155"/>
      <c r="M2256" s="156"/>
      <c r="N2256" s="250"/>
      <c r="O2256" s="157"/>
      <c r="P2256" s="248"/>
      <c r="Q2256" s="158"/>
      <c r="R2256" s="255"/>
      <c r="S2256" s="159"/>
      <c r="T2256" s="225"/>
      <c r="U2256" s="170"/>
      <c r="W2256" s="253"/>
    </row>
    <row r="2257" spans="1:23" hidden="1" outlineLevel="1" collapsed="1">
      <c r="A2257" s="162"/>
      <c r="B2257" s="163"/>
      <c r="C2257" s="151" t="s">
        <v>931</v>
      </c>
      <c r="D2257" s="361"/>
      <c r="E2257" s="164"/>
      <c r="F2257" s="165"/>
      <c r="G2257" s="197"/>
      <c r="H2257" s="157"/>
      <c r="I2257" s="157"/>
      <c r="J2257" s="157"/>
      <c r="K2257" s="158"/>
      <c r="L2257" s="155"/>
      <c r="M2257" s="156"/>
      <c r="N2257" s="250"/>
      <c r="O2257" s="157"/>
      <c r="P2257" s="248"/>
      <c r="Q2257" s="158"/>
      <c r="R2257" s="255"/>
      <c r="S2257" s="159"/>
      <c r="T2257" s="225"/>
      <c r="U2257" s="170"/>
      <c r="W2257" s="310"/>
    </row>
    <row r="2258" spans="1:23" s="233" customFormat="1" hidden="1" outlineLevel="2">
      <c r="A2258" s="312"/>
      <c r="B2258" s="151" t="s">
        <v>502</v>
      </c>
      <c r="C2258" s="171"/>
      <c r="D2258" s="343"/>
      <c r="E2258" s="157"/>
      <c r="F2258" s="158"/>
      <c r="G2258" s="197"/>
      <c r="H2258" s="157"/>
      <c r="I2258" s="157"/>
      <c r="J2258" s="157"/>
      <c r="K2258" s="158"/>
      <c r="L2258" s="155"/>
      <c r="M2258" s="156"/>
      <c r="N2258" s="250"/>
      <c r="O2258" s="157"/>
      <c r="P2258" s="248"/>
      <c r="Q2258" s="158"/>
      <c r="R2258" s="255"/>
      <c r="S2258" s="159"/>
      <c r="T2258" s="225"/>
      <c r="U2258" s="161"/>
    </row>
    <row r="2259" spans="1:23" hidden="1" outlineLevel="2">
      <c r="A2259" s="162"/>
      <c r="B2259" s="163"/>
      <c r="C2259" s="236" t="s">
        <v>891</v>
      </c>
      <c r="D2259" s="361"/>
      <c r="E2259" s="164"/>
      <c r="F2259" s="165"/>
      <c r="G2259" s="197"/>
      <c r="H2259" s="157"/>
      <c r="I2259" s="157"/>
      <c r="J2259" s="157"/>
      <c r="K2259" s="158"/>
      <c r="L2259" s="155"/>
      <c r="M2259" s="156"/>
      <c r="N2259" s="250"/>
      <c r="O2259" s="157"/>
      <c r="P2259" s="248"/>
      <c r="Q2259" s="158"/>
      <c r="R2259" s="255"/>
      <c r="S2259" s="159"/>
      <c r="T2259" s="225"/>
      <c r="U2259" s="170"/>
      <c r="W2259" s="253"/>
    </row>
    <row r="2260" spans="1:23" hidden="1" outlineLevel="2">
      <c r="A2260" s="162"/>
      <c r="B2260" s="163"/>
      <c r="C2260" s="236" t="s">
        <v>893</v>
      </c>
      <c r="D2260" s="361"/>
      <c r="E2260" s="164"/>
      <c r="F2260" s="165"/>
      <c r="G2260" s="197"/>
      <c r="H2260" s="157"/>
      <c r="I2260" s="157"/>
      <c r="J2260" s="157"/>
      <c r="K2260" s="158"/>
      <c r="L2260" s="155"/>
      <c r="M2260" s="156"/>
      <c r="N2260" s="250"/>
      <c r="O2260" s="157"/>
      <c r="P2260" s="248"/>
      <c r="Q2260" s="158"/>
      <c r="R2260" s="255"/>
      <c r="S2260" s="159"/>
      <c r="T2260" s="225"/>
      <c r="U2260" s="170"/>
      <c r="W2260" s="253"/>
    </row>
    <row r="2261" spans="1:23" hidden="1" outlineLevel="2">
      <c r="A2261" s="162"/>
      <c r="B2261" s="163"/>
      <c r="C2261" s="236" t="s">
        <v>894</v>
      </c>
      <c r="D2261" s="361"/>
      <c r="E2261" s="164"/>
      <c r="F2261" s="165"/>
      <c r="G2261" s="197"/>
      <c r="H2261" s="157"/>
      <c r="I2261" s="157"/>
      <c r="J2261" s="157"/>
      <c r="K2261" s="158"/>
      <c r="L2261" s="155"/>
      <c r="M2261" s="156"/>
      <c r="N2261" s="250"/>
      <c r="O2261" s="157"/>
      <c r="P2261" s="248"/>
      <c r="Q2261" s="158"/>
      <c r="R2261" s="255"/>
      <c r="S2261" s="159"/>
      <c r="T2261" s="225"/>
      <c r="U2261" s="170"/>
      <c r="W2261" s="253"/>
    </row>
    <row r="2262" spans="1:23" hidden="1" outlineLevel="2">
      <c r="A2262" s="162"/>
      <c r="B2262" s="163"/>
      <c r="C2262" s="236" t="s">
        <v>895</v>
      </c>
      <c r="D2262" s="361"/>
      <c r="E2262" s="164"/>
      <c r="F2262" s="165"/>
      <c r="G2262" s="197"/>
      <c r="H2262" s="157"/>
      <c r="I2262" s="157"/>
      <c r="J2262" s="157"/>
      <c r="K2262" s="158"/>
      <c r="L2262" s="155"/>
      <c r="M2262" s="156"/>
      <c r="N2262" s="250"/>
      <c r="O2262" s="157"/>
      <c r="P2262" s="248"/>
      <c r="Q2262" s="158"/>
      <c r="R2262" s="255"/>
      <c r="S2262" s="159"/>
      <c r="T2262" s="225"/>
      <c r="U2262" s="170"/>
      <c r="W2262" s="253"/>
    </row>
    <row r="2263" spans="1:23" hidden="1" outlineLevel="2">
      <c r="A2263" s="162"/>
      <c r="B2263" s="163"/>
      <c r="C2263" s="236" t="s">
        <v>896</v>
      </c>
      <c r="D2263" s="361"/>
      <c r="E2263" s="164"/>
      <c r="F2263" s="165"/>
      <c r="G2263" s="197"/>
      <c r="H2263" s="157"/>
      <c r="I2263" s="157"/>
      <c r="J2263" s="157"/>
      <c r="K2263" s="158"/>
      <c r="L2263" s="155"/>
      <c r="M2263" s="156"/>
      <c r="N2263" s="250"/>
      <c r="O2263" s="157"/>
      <c r="P2263" s="248"/>
      <c r="Q2263" s="158"/>
      <c r="R2263" s="255"/>
      <c r="S2263" s="159"/>
      <c r="T2263" s="225"/>
      <c r="U2263" s="170"/>
      <c r="W2263" s="253"/>
    </row>
    <row r="2264" spans="1:23" hidden="1" outlineLevel="2">
      <c r="A2264" s="162"/>
      <c r="B2264" s="163"/>
      <c r="C2264" s="236" t="s">
        <v>897</v>
      </c>
      <c r="D2264" s="361"/>
      <c r="E2264" s="164"/>
      <c r="F2264" s="165"/>
      <c r="G2264" s="197"/>
      <c r="H2264" s="157"/>
      <c r="I2264" s="157"/>
      <c r="J2264" s="157"/>
      <c r="K2264" s="158"/>
      <c r="L2264" s="155"/>
      <c r="M2264" s="156"/>
      <c r="N2264" s="250"/>
      <c r="O2264" s="157"/>
      <c r="P2264" s="248"/>
      <c r="Q2264" s="158"/>
      <c r="R2264" s="255"/>
      <c r="S2264" s="159"/>
      <c r="T2264" s="225"/>
      <c r="U2264" s="170"/>
      <c r="W2264" s="253"/>
    </row>
    <row r="2265" spans="1:23" hidden="1" outlineLevel="2">
      <c r="A2265" s="162"/>
      <c r="B2265" s="163"/>
      <c r="C2265" s="236" t="s">
        <v>898</v>
      </c>
      <c r="D2265" s="361"/>
      <c r="E2265" s="164"/>
      <c r="F2265" s="165"/>
      <c r="G2265" s="197"/>
      <c r="H2265" s="157"/>
      <c r="I2265" s="157"/>
      <c r="J2265" s="157"/>
      <c r="K2265" s="158"/>
      <c r="L2265" s="155"/>
      <c r="M2265" s="156"/>
      <c r="N2265" s="250"/>
      <c r="O2265" s="157"/>
      <c r="P2265" s="248"/>
      <c r="Q2265" s="158"/>
      <c r="R2265" s="255"/>
      <c r="S2265" s="159"/>
      <c r="T2265" s="225"/>
      <c r="U2265" s="170"/>
      <c r="W2265" s="253"/>
    </row>
    <row r="2266" spans="1:23" hidden="1" outlineLevel="2">
      <c r="A2266" s="162"/>
      <c r="B2266" s="163"/>
      <c r="C2266" s="236" t="s">
        <v>379</v>
      </c>
      <c r="D2266" s="361"/>
      <c r="E2266" s="164"/>
      <c r="F2266" s="165"/>
      <c r="G2266" s="197"/>
      <c r="H2266" s="157"/>
      <c r="I2266" s="157"/>
      <c r="J2266" s="157"/>
      <c r="K2266" s="158"/>
      <c r="L2266" s="155"/>
      <c r="M2266" s="156"/>
      <c r="N2266" s="250"/>
      <c r="O2266" s="157"/>
      <c r="P2266" s="248"/>
      <c r="Q2266" s="158"/>
      <c r="R2266" s="255"/>
      <c r="S2266" s="159"/>
      <c r="T2266" s="225"/>
      <c r="U2266" s="170"/>
      <c r="W2266" s="253"/>
    </row>
    <row r="2267" spans="1:23" hidden="1" outlineLevel="1" collapsed="1">
      <c r="A2267" s="162"/>
      <c r="B2267" s="163"/>
      <c r="C2267" s="151" t="s">
        <v>502</v>
      </c>
      <c r="D2267" s="339"/>
      <c r="E2267" s="164"/>
      <c r="F2267" s="165"/>
      <c r="G2267" s="197"/>
      <c r="H2267" s="157"/>
      <c r="I2267" s="157"/>
      <c r="J2267" s="157"/>
      <c r="K2267" s="158"/>
      <c r="L2267" s="155"/>
      <c r="M2267" s="156"/>
      <c r="N2267" s="250"/>
      <c r="O2267" s="157"/>
      <c r="P2267" s="248"/>
      <c r="Q2267" s="158"/>
      <c r="R2267" s="255"/>
      <c r="S2267" s="159"/>
      <c r="T2267" s="225"/>
      <c r="U2267" s="170"/>
      <c r="W2267" s="310"/>
    </row>
    <row r="2268" spans="1:23" s="233" customFormat="1" hidden="1" outlineLevel="2">
      <c r="A2268" s="312"/>
      <c r="B2268" s="151" t="s">
        <v>575</v>
      </c>
      <c r="C2268" s="171"/>
      <c r="D2268" s="343"/>
      <c r="E2268" s="157"/>
      <c r="F2268" s="158"/>
      <c r="G2268" s="197"/>
      <c r="H2268" s="157"/>
      <c r="I2268" s="157"/>
      <c r="J2268" s="157"/>
      <c r="K2268" s="158"/>
      <c r="L2268" s="155"/>
      <c r="M2268" s="156"/>
      <c r="N2268" s="250"/>
      <c r="O2268" s="157"/>
      <c r="P2268" s="248"/>
      <c r="Q2268" s="158"/>
      <c r="R2268" s="255"/>
      <c r="S2268" s="159"/>
      <c r="T2268" s="225"/>
      <c r="U2268" s="161"/>
    </row>
    <row r="2269" spans="1:23" hidden="1" outlineLevel="2">
      <c r="A2269" s="162"/>
      <c r="B2269" s="163"/>
      <c r="C2269" s="236" t="s">
        <v>891</v>
      </c>
      <c r="D2269" s="361"/>
      <c r="E2269" s="164"/>
      <c r="F2269" s="165"/>
      <c r="G2269" s="197"/>
      <c r="H2269" s="157"/>
      <c r="I2269" s="157"/>
      <c r="J2269" s="157"/>
      <c r="K2269" s="158"/>
      <c r="L2269" s="155"/>
      <c r="M2269" s="156"/>
      <c r="N2269" s="250"/>
      <c r="O2269" s="157"/>
      <c r="P2269" s="248"/>
      <c r="Q2269" s="158"/>
      <c r="R2269" s="255"/>
      <c r="S2269" s="159"/>
      <c r="T2269" s="225"/>
      <c r="U2269" s="170"/>
      <c r="W2269" s="253"/>
    </row>
    <row r="2270" spans="1:23" hidden="1" outlineLevel="2">
      <c r="A2270" s="162"/>
      <c r="B2270" s="163"/>
      <c r="C2270" s="236" t="s">
        <v>893</v>
      </c>
      <c r="D2270" s="361"/>
      <c r="E2270" s="164"/>
      <c r="F2270" s="165"/>
      <c r="G2270" s="197"/>
      <c r="H2270" s="157"/>
      <c r="I2270" s="157"/>
      <c r="J2270" s="157"/>
      <c r="K2270" s="158"/>
      <c r="L2270" s="155"/>
      <c r="M2270" s="156"/>
      <c r="N2270" s="250"/>
      <c r="O2270" s="157"/>
      <c r="P2270" s="248"/>
      <c r="Q2270" s="158"/>
      <c r="R2270" s="255"/>
      <c r="S2270" s="159"/>
      <c r="T2270" s="225"/>
      <c r="U2270" s="170"/>
      <c r="W2270" s="253"/>
    </row>
    <row r="2271" spans="1:23" hidden="1" outlineLevel="2">
      <c r="A2271" s="162"/>
      <c r="B2271" s="163"/>
      <c r="C2271" s="236" t="s">
        <v>894</v>
      </c>
      <c r="D2271" s="361"/>
      <c r="E2271" s="164"/>
      <c r="F2271" s="165"/>
      <c r="G2271" s="197"/>
      <c r="H2271" s="157"/>
      <c r="I2271" s="157"/>
      <c r="J2271" s="157"/>
      <c r="K2271" s="158"/>
      <c r="L2271" s="155"/>
      <c r="M2271" s="156"/>
      <c r="N2271" s="250"/>
      <c r="O2271" s="157"/>
      <c r="P2271" s="248"/>
      <c r="Q2271" s="158"/>
      <c r="R2271" s="255"/>
      <c r="S2271" s="159"/>
      <c r="T2271" s="225"/>
      <c r="U2271" s="170"/>
      <c r="W2271" s="253"/>
    </row>
    <row r="2272" spans="1:23" hidden="1" outlineLevel="2">
      <c r="A2272" s="162"/>
      <c r="B2272" s="163"/>
      <c r="C2272" s="236" t="s">
        <v>895</v>
      </c>
      <c r="D2272" s="361"/>
      <c r="E2272" s="164"/>
      <c r="F2272" s="165"/>
      <c r="G2272" s="197"/>
      <c r="H2272" s="157"/>
      <c r="I2272" s="157"/>
      <c r="J2272" s="157"/>
      <c r="K2272" s="158"/>
      <c r="L2272" s="155"/>
      <c r="M2272" s="156"/>
      <c r="N2272" s="250"/>
      <c r="O2272" s="157"/>
      <c r="P2272" s="248"/>
      <c r="Q2272" s="158"/>
      <c r="R2272" s="255"/>
      <c r="S2272" s="159"/>
      <c r="T2272" s="225"/>
      <c r="U2272" s="170"/>
      <c r="W2272" s="253"/>
    </row>
    <row r="2273" spans="1:23" hidden="1" outlineLevel="2">
      <c r="A2273" s="162"/>
      <c r="B2273" s="163"/>
      <c r="C2273" s="236" t="s">
        <v>896</v>
      </c>
      <c r="D2273" s="361"/>
      <c r="E2273" s="164"/>
      <c r="F2273" s="165"/>
      <c r="G2273" s="197"/>
      <c r="H2273" s="157"/>
      <c r="I2273" s="157"/>
      <c r="J2273" s="157"/>
      <c r="K2273" s="158"/>
      <c r="L2273" s="155"/>
      <c r="M2273" s="156"/>
      <c r="N2273" s="250"/>
      <c r="O2273" s="157"/>
      <c r="P2273" s="248"/>
      <c r="Q2273" s="158"/>
      <c r="R2273" s="255"/>
      <c r="S2273" s="159"/>
      <c r="T2273" s="225"/>
      <c r="U2273" s="170"/>
      <c r="W2273" s="253"/>
    </row>
    <row r="2274" spans="1:23" hidden="1" outlineLevel="2">
      <c r="A2274" s="162"/>
      <c r="B2274" s="163"/>
      <c r="C2274" s="236" t="s">
        <v>897</v>
      </c>
      <c r="D2274" s="361"/>
      <c r="E2274" s="164"/>
      <c r="F2274" s="165"/>
      <c r="G2274" s="197"/>
      <c r="H2274" s="157"/>
      <c r="I2274" s="157"/>
      <c r="J2274" s="157"/>
      <c r="K2274" s="158"/>
      <c r="L2274" s="155"/>
      <c r="M2274" s="156"/>
      <c r="N2274" s="250"/>
      <c r="O2274" s="157"/>
      <c r="P2274" s="248"/>
      <c r="Q2274" s="158"/>
      <c r="R2274" s="255"/>
      <c r="S2274" s="159"/>
      <c r="T2274" s="225"/>
      <c r="U2274" s="170"/>
      <c r="W2274" s="253"/>
    </row>
    <row r="2275" spans="1:23" hidden="1" outlineLevel="2">
      <c r="A2275" s="162"/>
      <c r="B2275" s="163"/>
      <c r="C2275" s="236" t="s">
        <v>898</v>
      </c>
      <c r="D2275" s="361"/>
      <c r="E2275" s="164"/>
      <c r="F2275" s="165"/>
      <c r="G2275" s="197"/>
      <c r="H2275" s="157"/>
      <c r="I2275" s="157"/>
      <c r="J2275" s="157"/>
      <c r="K2275" s="158"/>
      <c r="L2275" s="155"/>
      <c r="M2275" s="156"/>
      <c r="N2275" s="250"/>
      <c r="O2275" s="157"/>
      <c r="P2275" s="248"/>
      <c r="Q2275" s="158"/>
      <c r="R2275" s="255"/>
      <c r="S2275" s="159"/>
      <c r="T2275" s="225"/>
      <c r="U2275" s="170"/>
      <c r="W2275" s="253"/>
    </row>
    <row r="2276" spans="1:23" hidden="1" outlineLevel="2">
      <c r="A2276" s="162"/>
      <c r="B2276" s="163"/>
      <c r="C2276" s="236" t="s">
        <v>379</v>
      </c>
      <c r="D2276" s="361"/>
      <c r="E2276" s="164"/>
      <c r="F2276" s="165"/>
      <c r="G2276" s="197"/>
      <c r="H2276" s="157"/>
      <c r="I2276" s="157"/>
      <c r="J2276" s="157"/>
      <c r="K2276" s="158"/>
      <c r="L2276" s="155"/>
      <c r="M2276" s="156"/>
      <c r="N2276" s="250"/>
      <c r="O2276" s="157"/>
      <c r="P2276" s="248"/>
      <c r="Q2276" s="158"/>
      <c r="R2276" s="255"/>
      <c r="S2276" s="159"/>
      <c r="T2276" s="225"/>
      <c r="U2276" s="170"/>
      <c r="W2276" s="253"/>
    </row>
    <row r="2277" spans="1:23" hidden="1" outlineLevel="1" collapsed="1">
      <c r="A2277" s="162"/>
      <c r="B2277" s="163"/>
      <c r="C2277" s="151" t="s">
        <v>575</v>
      </c>
      <c r="D2277" s="339"/>
      <c r="E2277" s="164"/>
      <c r="F2277" s="165"/>
      <c r="G2277" s="197"/>
      <c r="H2277" s="157"/>
      <c r="I2277" s="157"/>
      <c r="J2277" s="157"/>
      <c r="K2277" s="158"/>
      <c r="L2277" s="155"/>
      <c r="M2277" s="156"/>
      <c r="N2277" s="250"/>
      <c r="O2277" s="157"/>
      <c r="P2277" s="248"/>
      <c r="Q2277" s="158"/>
      <c r="R2277" s="255"/>
      <c r="S2277" s="159"/>
      <c r="T2277" s="225"/>
      <c r="U2277" s="170"/>
      <c r="W2277" s="310"/>
    </row>
    <row r="2278" spans="1:23" s="233" customFormat="1" hidden="1" outlineLevel="2">
      <c r="A2278" s="312"/>
      <c r="B2278" s="151" t="s">
        <v>567</v>
      </c>
      <c r="C2278" s="171"/>
      <c r="D2278" s="343"/>
      <c r="E2278" s="157"/>
      <c r="F2278" s="158"/>
      <c r="G2278" s="197"/>
      <c r="H2278" s="157"/>
      <c r="I2278" s="157"/>
      <c r="J2278" s="157"/>
      <c r="K2278" s="158"/>
      <c r="L2278" s="155"/>
      <c r="M2278" s="156"/>
      <c r="N2278" s="250"/>
      <c r="O2278" s="157"/>
      <c r="P2278" s="248"/>
      <c r="Q2278" s="158"/>
      <c r="R2278" s="255"/>
      <c r="S2278" s="159"/>
      <c r="T2278" s="225"/>
      <c r="U2278" s="161"/>
    </row>
    <row r="2279" spans="1:23" hidden="1" outlineLevel="2">
      <c r="A2279" s="162"/>
      <c r="B2279" s="163"/>
      <c r="C2279" s="236" t="s">
        <v>891</v>
      </c>
      <c r="D2279" s="361"/>
      <c r="E2279" s="164"/>
      <c r="F2279" s="165"/>
      <c r="G2279" s="197"/>
      <c r="H2279" s="157"/>
      <c r="I2279" s="157"/>
      <c r="J2279" s="157"/>
      <c r="K2279" s="158"/>
      <c r="L2279" s="155"/>
      <c r="M2279" s="156"/>
      <c r="N2279" s="250"/>
      <c r="O2279" s="158"/>
      <c r="P2279" s="248"/>
      <c r="Q2279" s="158"/>
      <c r="R2279" s="255"/>
      <c r="S2279" s="159">
        <f>SUM(L2279:Q2279)</f>
        <v>0</v>
      </c>
      <c r="T2279" s="225"/>
      <c r="U2279" s="170" t="s">
        <v>932</v>
      </c>
      <c r="W2279" s="253"/>
    </row>
    <row r="2280" spans="1:23" hidden="1" outlineLevel="2">
      <c r="A2280" s="162"/>
      <c r="B2280" s="163"/>
      <c r="C2280" s="236" t="s">
        <v>893</v>
      </c>
      <c r="D2280" s="361"/>
      <c r="E2280" s="164"/>
      <c r="F2280" s="165"/>
      <c r="G2280" s="197"/>
      <c r="H2280" s="157"/>
      <c r="I2280" s="157"/>
      <c r="J2280" s="157"/>
      <c r="K2280" s="158"/>
      <c r="L2280" s="155"/>
      <c r="M2280" s="156"/>
      <c r="N2280" s="250"/>
      <c r="O2280" s="157"/>
      <c r="P2280" s="248"/>
      <c r="Q2280" s="158"/>
      <c r="R2280" s="255"/>
      <c r="S2280" s="159"/>
      <c r="T2280" s="225"/>
      <c r="U2280" s="170"/>
      <c r="W2280" s="253"/>
    </row>
    <row r="2281" spans="1:23" hidden="1" outlineLevel="2">
      <c r="A2281" s="162"/>
      <c r="B2281" s="163"/>
      <c r="C2281" s="236" t="s">
        <v>894</v>
      </c>
      <c r="D2281" s="361"/>
      <c r="E2281" s="164"/>
      <c r="F2281" s="165"/>
      <c r="G2281" s="197"/>
      <c r="H2281" s="157"/>
      <c r="I2281" s="157"/>
      <c r="J2281" s="157"/>
      <c r="K2281" s="158"/>
      <c r="L2281" s="155"/>
      <c r="M2281" s="156"/>
      <c r="N2281" s="250"/>
      <c r="O2281" s="157"/>
      <c r="P2281" s="248"/>
      <c r="Q2281" s="158"/>
      <c r="R2281" s="255"/>
      <c r="S2281" s="159"/>
      <c r="T2281" s="225"/>
      <c r="U2281" s="170"/>
      <c r="W2281" s="253"/>
    </row>
    <row r="2282" spans="1:23" hidden="1" outlineLevel="2">
      <c r="A2282" s="162"/>
      <c r="B2282" s="163"/>
      <c r="C2282" s="236" t="s">
        <v>895</v>
      </c>
      <c r="D2282" s="361"/>
      <c r="E2282" s="164"/>
      <c r="F2282" s="165"/>
      <c r="G2282" s="197"/>
      <c r="H2282" s="157"/>
      <c r="I2282" s="157"/>
      <c r="J2282" s="157"/>
      <c r="K2282" s="158"/>
      <c r="L2282" s="155"/>
      <c r="M2282" s="156"/>
      <c r="N2282" s="250"/>
      <c r="O2282" s="157"/>
      <c r="P2282" s="248"/>
      <c r="Q2282" s="158"/>
      <c r="R2282" s="255"/>
      <c r="S2282" s="159"/>
      <c r="T2282" s="225"/>
      <c r="U2282" s="170"/>
      <c r="W2282" s="253"/>
    </row>
    <row r="2283" spans="1:23" hidden="1" outlineLevel="2">
      <c r="A2283" s="162"/>
      <c r="B2283" s="163"/>
      <c r="C2283" s="236" t="s">
        <v>896</v>
      </c>
      <c r="D2283" s="361"/>
      <c r="E2283" s="164"/>
      <c r="F2283" s="165"/>
      <c r="G2283" s="197"/>
      <c r="H2283" s="157"/>
      <c r="I2283" s="157"/>
      <c r="J2283" s="157"/>
      <c r="K2283" s="158"/>
      <c r="L2283" s="155"/>
      <c r="M2283" s="156"/>
      <c r="N2283" s="250"/>
      <c r="O2283" s="157"/>
      <c r="P2283" s="248"/>
      <c r="Q2283" s="158"/>
      <c r="R2283" s="255"/>
      <c r="S2283" s="159"/>
      <c r="T2283" s="225"/>
      <c r="U2283" s="170"/>
      <c r="W2283" s="253"/>
    </row>
    <row r="2284" spans="1:23" hidden="1" outlineLevel="2">
      <c r="A2284" s="162"/>
      <c r="B2284" s="163"/>
      <c r="C2284" s="236" t="s">
        <v>897</v>
      </c>
      <c r="D2284" s="361"/>
      <c r="E2284" s="164"/>
      <c r="F2284" s="165"/>
      <c r="G2284" s="197"/>
      <c r="H2284" s="157"/>
      <c r="I2284" s="157"/>
      <c r="J2284" s="157"/>
      <c r="K2284" s="158"/>
      <c r="L2284" s="155"/>
      <c r="M2284" s="156"/>
      <c r="N2284" s="250"/>
      <c r="O2284" s="157"/>
      <c r="P2284" s="248"/>
      <c r="Q2284" s="158"/>
      <c r="R2284" s="255"/>
      <c r="S2284" s="159"/>
      <c r="T2284" s="225"/>
      <c r="U2284" s="170"/>
      <c r="W2284" s="253"/>
    </row>
    <row r="2285" spans="1:23" hidden="1" outlineLevel="2">
      <c r="A2285" s="162"/>
      <c r="B2285" s="163"/>
      <c r="C2285" s="236" t="s">
        <v>898</v>
      </c>
      <c r="D2285" s="361"/>
      <c r="E2285" s="164"/>
      <c r="F2285" s="165"/>
      <c r="G2285" s="197"/>
      <c r="H2285" s="157"/>
      <c r="I2285" s="157"/>
      <c r="J2285" s="157"/>
      <c r="K2285" s="158"/>
      <c r="L2285" s="155"/>
      <c r="M2285" s="156"/>
      <c r="N2285" s="250"/>
      <c r="O2285" s="157"/>
      <c r="P2285" s="248"/>
      <c r="Q2285" s="158"/>
      <c r="R2285" s="255"/>
      <c r="S2285" s="159"/>
      <c r="T2285" s="225"/>
      <c r="U2285" s="170"/>
      <c r="W2285" s="253"/>
    </row>
    <row r="2286" spans="1:23" hidden="1" outlineLevel="2">
      <c r="A2286" s="162"/>
      <c r="B2286" s="163"/>
      <c r="C2286" s="236" t="s">
        <v>379</v>
      </c>
      <c r="D2286" s="361"/>
      <c r="E2286" s="164"/>
      <c r="F2286" s="165"/>
      <c r="G2286" s="197"/>
      <c r="H2286" s="157"/>
      <c r="I2286" s="157"/>
      <c r="J2286" s="157"/>
      <c r="K2286" s="158"/>
      <c r="L2286" s="155"/>
      <c r="M2286" s="156"/>
      <c r="N2286" s="250"/>
      <c r="O2286" s="157"/>
      <c r="P2286" s="248"/>
      <c r="Q2286" s="158"/>
      <c r="R2286" s="255"/>
      <c r="S2286" s="159"/>
      <c r="T2286" s="225"/>
      <c r="U2286" s="170"/>
      <c r="W2286" s="253"/>
    </row>
    <row r="2287" spans="1:23" hidden="1" outlineLevel="1" collapsed="1">
      <c r="A2287" s="162"/>
      <c r="B2287" s="163"/>
      <c r="C2287" s="151" t="s">
        <v>567</v>
      </c>
      <c r="D2287" s="339"/>
      <c r="E2287" s="164"/>
      <c r="F2287" s="165"/>
      <c r="G2287" s="197"/>
      <c r="H2287" s="157"/>
      <c r="I2287" s="157"/>
      <c r="J2287" s="157"/>
      <c r="K2287" s="158"/>
      <c r="L2287" s="155"/>
      <c r="M2287" s="156"/>
      <c r="N2287" s="250"/>
      <c r="O2287" s="158"/>
      <c r="P2287" s="248"/>
      <c r="Q2287" s="158"/>
      <c r="R2287" s="255"/>
      <c r="S2287" s="159"/>
      <c r="T2287" s="225"/>
      <c r="U2287" s="170"/>
      <c r="W2287" s="310"/>
    </row>
    <row r="2288" spans="1:23" s="233" customFormat="1" hidden="1" outlineLevel="2">
      <c r="A2288" s="312"/>
      <c r="B2288" s="151" t="s">
        <v>509</v>
      </c>
      <c r="C2288" s="171"/>
      <c r="D2288" s="343"/>
      <c r="E2288" s="157"/>
      <c r="F2288" s="158"/>
      <c r="G2288" s="197"/>
      <c r="H2288" s="157"/>
      <c r="I2288" s="157"/>
      <c r="J2288" s="157"/>
      <c r="K2288" s="158"/>
      <c r="L2288" s="155"/>
      <c r="M2288" s="156"/>
      <c r="N2288" s="250"/>
      <c r="O2288" s="157"/>
      <c r="P2288" s="248"/>
      <c r="Q2288" s="158"/>
      <c r="R2288" s="255"/>
      <c r="S2288" s="159"/>
      <c r="T2288" s="225"/>
      <c r="U2288" s="161"/>
    </row>
    <row r="2289" spans="1:23" hidden="1" outlineLevel="2">
      <c r="A2289" s="162"/>
      <c r="B2289" s="163"/>
      <c r="C2289" s="236" t="s">
        <v>891</v>
      </c>
      <c r="D2289" s="361"/>
      <c r="E2289" s="164"/>
      <c r="F2289" s="165"/>
      <c r="G2289" s="197"/>
      <c r="H2289" s="157"/>
      <c r="I2289" s="157"/>
      <c r="J2289" s="157"/>
      <c r="K2289" s="158"/>
      <c r="L2289" s="155"/>
      <c r="M2289" s="156"/>
      <c r="N2289" s="250"/>
      <c r="O2289" s="157"/>
      <c r="P2289" s="248"/>
      <c r="Q2289" s="158"/>
      <c r="R2289" s="255"/>
      <c r="S2289" s="159"/>
      <c r="T2289" s="225"/>
      <c r="U2289" s="170"/>
      <c r="W2289" s="253"/>
    </row>
    <row r="2290" spans="1:23" hidden="1" outlineLevel="2">
      <c r="A2290" s="162"/>
      <c r="B2290" s="163"/>
      <c r="C2290" s="236" t="s">
        <v>893</v>
      </c>
      <c r="D2290" s="361"/>
      <c r="E2290" s="164"/>
      <c r="F2290" s="165"/>
      <c r="G2290" s="197"/>
      <c r="H2290" s="157"/>
      <c r="I2290" s="157"/>
      <c r="J2290" s="157"/>
      <c r="K2290" s="158"/>
      <c r="L2290" s="155"/>
      <c r="M2290" s="156"/>
      <c r="N2290" s="250"/>
      <c r="O2290" s="157"/>
      <c r="P2290" s="248"/>
      <c r="Q2290" s="158"/>
      <c r="R2290" s="255"/>
      <c r="S2290" s="159"/>
      <c r="T2290" s="225"/>
      <c r="U2290" s="170"/>
      <c r="W2290" s="253"/>
    </row>
    <row r="2291" spans="1:23" hidden="1" outlineLevel="2">
      <c r="A2291" s="162"/>
      <c r="B2291" s="163"/>
      <c r="C2291" s="236" t="s">
        <v>894</v>
      </c>
      <c r="D2291" s="361"/>
      <c r="E2291" s="164"/>
      <c r="F2291" s="165"/>
      <c r="G2291" s="197"/>
      <c r="H2291" s="157"/>
      <c r="I2291" s="157"/>
      <c r="J2291" s="157"/>
      <c r="K2291" s="158"/>
      <c r="L2291" s="155"/>
      <c r="M2291" s="156"/>
      <c r="N2291" s="250"/>
      <c r="O2291" s="157"/>
      <c r="P2291" s="248"/>
      <c r="Q2291" s="158"/>
      <c r="R2291" s="255"/>
      <c r="S2291" s="159"/>
      <c r="T2291" s="225"/>
      <c r="U2291" s="170"/>
      <c r="W2291" s="253"/>
    </row>
    <row r="2292" spans="1:23" hidden="1" outlineLevel="2">
      <c r="A2292" s="162"/>
      <c r="B2292" s="163"/>
      <c r="C2292" s="236" t="s">
        <v>895</v>
      </c>
      <c r="D2292" s="361"/>
      <c r="E2292" s="164"/>
      <c r="F2292" s="165"/>
      <c r="G2292" s="197"/>
      <c r="H2292" s="157"/>
      <c r="I2292" s="157"/>
      <c r="J2292" s="157"/>
      <c r="K2292" s="158"/>
      <c r="L2292" s="155"/>
      <c r="M2292" s="156"/>
      <c r="N2292" s="250"/>
      <c r="O2292" s="157"/>
      <c r="P2292" s="248"/>
      <c r="Q2292" s="158"/>
      <c r="R2292" s="255"/>
      <c r="S2292" s="159"/>
      <c r="T2292" s="225"/>
      <c r="U2292" s="170"/>
      <c r="W2292" s="253"/>
    </row>
    <row r="2293" spans="1:23" hidden="1" outlineLevel="2">
      <c r="A2293" s="162"/>
      <c r="B2293" s="163"/>
      <c r="C2293" s="236" t="s">
        <v>896</v>
      </c>
      <c r="D2293" s="361"/>
      <c r="E2293" s="164"/>
      <c r="F2293" s="165"/>
      <c r="G2293" s="197"/>
      <c r="H2293" s="157"/>
      <c r="I2293" s="157"/>
      <c r="J2293" s="157"/>
      <c r="K2293" s="158"/>
      <c r="L2293" s="155"/>
      <c r="M2293" s="156"/>
      <c r="N2293" s="250"/>
      <c r="O2293" s="157"/>
      <c r="P2293" s="248"/>
      <c r="Q2293" s="158"/>
      <c r="R2293" s="255"/>
      <c r="S2293" s="159"/>
      <c r="T2293" s="225"/>
      <c r="U2293" s="170"/>
      <c r="W2293" s="253"/>
    </row>
    <row r="2294" spans="1:23" hidden="1" outlineLevel="2">
      <c r="A2294" s="162"/>
      <c r="B2294" s="163"/>
      <c r="C2294" s="236" t="s">
        <v>897</v>
      </c>
      <c r="D2294" s="361"/>
      <c r="E2294" s="164"/>
      <c r="F2294" s="165"/>
      <c r="G2294" s="197"/>
      <c r="H2294" s="157"/>
      <c r="I2294" s="157"/>
      <c r="J2294" s="157"/>
      <c r="K2294" s="158"/>
      <c r="L2294" s="155"/>
      <c r="M2294" s="156"/>
      <c r="N2294" s="250"/>
      <c r="O2294" s="157"/>
      <c r="P2294" s="248"/>
      <c r="Q2294" s="158"/>
      <c r="R2294" s="255"/>
      <c r="S2294" s="159"/>
      <c r="T2294" s="225"/>
      <c r="U2294" s="170"/>
      <c r="W2294" s="253"/>
    </row>
    <row r="2295" spans="1:23" hidden="1" outlineLevel="2">
      <c r="A2295" s="162"/>
      <c r="B2295" s="163"/>
      <c r="C2295" s="236" t="s">
        <v>898</v>
      </c>
      <c r="D2295" s="361"/>
      <c r="E2295" s="164"/>
      <c r="F2295" s="165"/>
      <c r="G2295" s="197"/>
      <c r="H2295" s="157"/>
      <c r="I2295" s="157"/>
      <c r="J2295" s="157"/>
      <c r="K2295" s="158"/>
      <c r="L2295" s="155"/>
      <c r="M2295" s="156"/>
      <c r="N2295" s="250"/>
      <c r="O2295" s="157"/>
      <c r="P2295" s="248"/>
      <c r="Q2295" s="158"/>
      <c r="R2295" s="255"/>
      <c r="S2295" s="159"/>
      <c r="T2295" s="225"/>
      <c r="U2295" s="170"/>
      <c r="W2295" s="253"/>
    </row>
    <row r="2296" spans="1:23" hidden="1" outlineLevel="2">
      <c r="A2296" s="162"/>
      <c r="B2296" s="163"/>
      <c r="C2296" s="236" t="s">
        <v>379</v>
      </c>
      <c r="D2296" s="361"/>
      <c r="E2296" s="164"/>
      <c r="F2296" s="165"/>
      <c r="G2296" s="197"/>
      <c r="H2296" s="157"/>
      <c r="I2296" s="157"/>
      <c r="J2296" s="157"/>
      <c r="K2296" s="158"/>
      <c r="L2296" s="155"/>
      <c r="M2296" s="156"/>
      <c r="N2296" s="250"/>
      <c r="O2296" s="157"/>
      <c r="P2296" s="248"/>
      <c r="Q2296" s="158"/>
      <c r="R2296" s="255"/>
      <c r="S2296" s="159"/>
      <c r="T2296" s="225"/>
      <c r="U2296" s="170"/>
      <c r="W2296" s="253"/>
    </row>
    <row r="2297" spans="1:23" hidden="1" outlineLevel="1" collapsed="1">
      <c r="A2297" s="162"/>
      <c r="B2297" s="163"/>
      <c r="C2297" s="151" t="s">
        <v>509</v>
      </c>
      <c r="D2297" s="339"/>
      <c r="E2297" s="164"/>
      <c r="F2297" s="165"/>
      <c r="G2297" s="197"/>
      <c r="H2297" s="157"/>
      <c r="I2297" s="157"/>
      <c r="J2297" s="157"/>
      <c r="K2297" s="158"/>
      <c r="L2297" s="155"/>
      <c r="M2297" s="156"/>
      <c r="N2297" s="250"/>
      <c r="O2297" s="157"/>
      <c r="P2297" s="248"/>
      <c r="Q2297" s="158"/>
      <c r="R2297" s="255"/>
      <c r="S2297" s="159"/>
      <c r="T2297" s="225"/>
      <c r="U2297" s="170"/>
      <c r="W2297" s="310"/>
    </row>
    <row r="2298" spans="1:23" s="233" customFormat="1" hidden="1" outlineLevel="2">
      <c r="A2298" s="312"/>
      <c r="B2298" s="313" t="s">
        <v>475</v>
      </c>
      <c r="C2298" s="171"/>
      <c r="D2298" s="343"/>
      <c r="E2298" s="157"/>
      <c r="F2298" s="158"/>
      <c r="G2298" s="197"/>
      <c r="H2298" s="157"/>
      <c r="I2298" s="157"/>
      <c r="J2298" s="157"/>
      <c r="K2298" s="158"/>
      <c r="L2298" s="155"/>
      <c r="M2298" s="156"/>
      <c r="N2298" s="250"/>
      <c r="O2298" s="157"/>
      <c r="P2298" s="248"/>
      <c r="Q2298" s="158"/>
      <c r="R2298" s="255"/>
      <c r="S2298" s="159"/>
      <c r="T2298" s="225"/>
      <c r="U2298" s="161"/>
    </row>
    <row r="2299" spans="1:23" hidden="1" outlineLevel="2">
      <c r="A2299" s="162"/>
      <c r="B2299" s="163"/>
      <c r="C2299" s="236" t="s">
        <v>891</v>
      </c>
      <c r="D2299" s="361"/>
      <c r="E2299" s="164"/>
      <c r="F2299" s="165"/>
      <c r="G2299" s="197"/>
      <c r="H2299" s="157"/>
      <c r="I2299" s="157"/>
      <c r="J2299" s="157"/>
      <c r="K2299" s="158"/>
      <c r="L2299" s="155"/>
      <c r="M2299" s="156"/>
      <c r="N2299" s="250"/>
      <c r="O2299" s="157"/>
      <c r="P2299" s="248"/>
      <c r="Q2299" s="158"/>
      <c r="R2299" s="255"/>
      <c r="S2299" s="159"/>
      <c r="T2299" s="225"/>
      <c r="U2299" s="170"/>
      <c r="W2299" s="253"/>
    </row>
    <row r="2300" spans="1:23" hidden="1" outlineLevel="2">
      <c r="A2300" s="162"/>
      <c r="B2300" s="163"/>
      <c r="C2300" s="236" t="s">
        <v>893</v>
      </c>
      <c r="D2300" s="361"/>
      <c r="E2300" s="164"/>
      <c r="F2300" s="165"/>
      <c r="G2300" s="197"/>
      <c r="H2300" s="157"/>
      <c r="I2300" s="157"/>
      <c r="J2300" s="157"/>
      <c r="K2300" s="158"/>
      <c r="L2300" s="155"/>
      <c r="M2300" s="156"/>
      <c r="N2300" s="250"/>
      <c r="O2300" s="157"/>
      <c r="P2300" s="248"/>
      <c r="Q2300" s="158"/>
      <c r="R2300" s="255"/>
      <c r="S2300" s="159"/>
      <c r="T2300" s="225"/>
      <c r="U2300" s="170"/>
      <c r="W2300" s="253"/>
    </row>
    <row r="2301" spans="1:23" hidden="1" outlineLevel="2">
      <c r="A2301" s="162"/>
      <c r="B2301" s="163"/>
      <c r="C2301" s="236" t="s">
        <v>894</v>
      </c>
      <c r="D2301" s="361"/>
      <c r="E2301" s="164"/>
      <c r="F2301" s="165"/>
      <c r="G2301" s="197"/>
      <c r="H2301" s="157"/>
      <c r="I2301" s="157"/>
      <c r="J2301" s="157"/>
      <c r="K2301" s="158"/>
      <c r="L2301" s="155"/>
      <c r="M2301" s="156"/>
      <c r="N2301" s="250"/>
      <c r="O2301" s="157"/>
      <c r="P2301" s="248"/>
      <c r="Q2301" s="158"/>
      <c r="R2301" s="255"/>
      <c r="S2301" s="159"/>
      <c r="T2301" s="225"/>
      <c r="U2301" s="170"/>
      <c r="W2301" s="253"/>
    </row>
    <row r="2302" spans="1:23" hidden="1" outlineLevel="2">
      <c r="A2302" s="162"/>
      <c r="B2302" s="163"/>
      <c r="C2302" s="236" t="s">
        <v>895</v>
      </c>
      <c r="D2302" s="361"/>
      <c r="E2302" s="164"/>
      <c r="F2302" s="165"/>
      <c r="G2302" s="197"/>
      <c r="H2302" s="157"/>
      <c r="I2302" s="157"/>
      <c r="J2302" s="157"/>
      <c r="K2302" s="158"/>
      <c r="L2302" s="155"/>
      <c r="M2302" s="156"/>
      <c r="N2302" s="250"/>
      <c r="O2302" s="157"/>
      <c r="P2302" s="248"/>
      <c r="Q2302" s="158"/>
      <c r="R2302" s="255"/>
      <c r="S2302" s="159"/>
      <c r="T2302" s="225"/>
      <c r="U2302" s="170"/>
      <c r="W2302" s="253"/>
    </row>
    <row r="2303" spans="1:23" hidden="1" outlineLevel="2">
      <c r="A2303" s="162"/>
      <c r="B2303" s="163"/>
      <c r="C2303" s="236" t="s">
        <v>896</v>
      </c>
      <c r="D2303" s="361"/>
      <c r="E2303" s="164"/>
      <c r="F2303" s="165"/>
      <c r="G2303" s="197"/>
      <c r="H2303" s="157"/>
      <c r="I2303" s="157"/>
      <c r="J2303" s="157"/>
      <c r="K2303" s="158"/>
      <c r="L2303" s="155"/>
      <c r="M2303" s="156"/>
      <c r="N2303" s="250"/>
      <c r="O2303" s="157"/>
      <c r="P2303" s="248"/>
      <c r="Q2303" s="158"/>
      <c r="R2303" s="255"/>
      <c r="S2303" s="159"/>
      <c r="T2303" s="225"/>
      <c r="U2303" s="170"/>
      <c r="W2303" s="253"/>
    </row>
    <row r="2304" spans="1:23" hidden="1" outlineLevel="2">
      <c r="A2304" s="162"/>
      <c r="B2304" s="163"/>
      <c r="C2304" s="236" t="s">
        <v>897</v>
      </c>
      <c r="D2304" s="361"/>
      <c r="E2304" s="164"/>
      <c r="F2304" s="165"/>
      <c r="G2304" s="197"/>
      <c r="H2304" s="157"/>
      <c r="I2304" s="157"/>
      <c r="J2304" s="157"/>
      <c r="K2304" s="158"/>
      <c r="L2304" s="155"/>
      <c r="M2304" s="156"/>
      <c r="N2304" s="250"/>
      <c r="O2304" s="157"/>
      <c r="P2304" s="248"/>
      <c r="Q2304" s="158"/>
      <c r="R2304" s="255"/>
      <c r="S2304" s="159"/>
      <c r="T2304" s="225"/>
      <c r="U2304" s="170"/>
      <c r="W2304" s="253"/>
    </row>
    <row r="2305" spans="1:23" hidden="1" outlineLevel="2">
      <c r="A2305" s="162"/>
      <c r="B2305" s="163"/>
      <c r="C2305" s="236" t="s">
        <v>898</v>
      </c>
      <c r="D2305" s="361"/>
      <c r="E2305" s="164"/>
      <c r="F2305" s="165"/>
      <c r="G2305" s="197"/>
      <c r="H2305" s="157"/>
      <c r="I2305" s="157"/>
      <c r="J2305" s="157"/>
      <c r="K2305" s="158"/>
      <c r="L2305" s="155"/>
      <c r="M2305" s="156"/>
      <c r="N2305" s="250"/>
      <c r="O2305" s="157"/>
      <c r="P2305" s="248"/>
      <c r="Q2305" s="158"/>
      <c r="R2305" s="255"/>
      <c r="S2305" s="159"/>
      <c r="T2305" s="225"/>
      <c r="U2305" s="170"/>
      <c r="W2305" s="253"/>
    </row>
    <row r="2306" spans="1:23" hidden="1" outlineLevel="2">
      <c r="A2306" s="162"/>
      <c r="B2306" s="163"/>
      <c r="C2306" s="236" t="s">
        <v>379</v>
      </c>
      <c r="D2306" s="361"/>
      <c r="E2306" s="164"/>
      <c r="F2306" s="165"/>
      <c r="G2306" s="197"/>
      <c r="H2306" s="157"/>
      <c r="I2306" s="157"/>
      <c r="J2306" s="157"/>
      <c r="K2306" s="158"/>
      <c r="L2306" s="155"/>
      <c r="M2306" s="156"/>
      <c r="N2306" s="250"/>
      <c r="O2306" s="157"/>
      <c r="P2306" s="248"/>
      <c r="Q2306" s="158"/>
      <c r="R2306" s="255"/>
      <c r="S2306" s="159"/>
      <c r="T2306" s="225"/>
      <c r="U2306" s="170"/>
      <c r="W2306" s="253"/>
    </row>
    <row r="2307" spans="1:23" hidden="1" outlineLevel="1" collapsed="1">
      <c r="A2307" s="162"/>
      <c r="B2307" s="163"/>
      <c r="C2307" s="313" t="s">
        <v>475</v>
      </c>
      <c r="D2307" s="362"/>
      <c r="E2307" s="164"/>
      <c r="F2307" s="165"/>
      <c r="G2307" s="197"/>
      <c r="H2307" s="157"/>
      <c r="I2307" s="157"/>
      <c r="J2307" s="157"/>
      <c r="K2307" s="158"/>
      <c r="L2307" s="155"/>
      <c r="M2307" s="156"/>
      <c r="N2307" s="250"/>
      <c r="O2307" s="157"/>
      <c r="P2307" s="248"/>
      <c r="Q2307" s="158"/>
      <c r="R2307" s="255"/>
      <c r="S2307" s="159"/>
      <c r="T2307" s="225"/>
      <c r="U2307" s="170"/>
      <c r="W2307" s="310"/>
    </row>
    <row r="2308" spans="1:23" s="233" customFormat="1" hidden="1" outlineLevel="2">
      <c r="A2308" s="312"/>
      <c r="B2308" s="151" t="s">
        <v>549</v>
      </c>
      <c r="C2308" s="171"/>
      <c r="D2308" s="343"/>
      <c r="E2308" s="157"/>
      <c r="F2308" s="158"/>
      <c r="G2308" s="197"/>
      <c r="H2308" s="157"/>
      <c r="I2308" s="157"/>
      <c r="J2308" s="157"/>
      <c r="K2308" s="158"/>
      <c r="L2308" s="155"/>
      <c r="M2308" s="156"/>
      <c r="N2308" s="250"/>
      <c r="O2308" s="157"/>
      <c r="P2308" s="248"/>
      <c r="Q2308" s="158"/>
      <c r="R2308" s="255"/>
      <c r="S2308" s="159"/>
      <c r="T2308" s="225"/>
      <c r="U2308" s="161"/>
    </row>
    <row r="2309" spans="1:23" hidden="1" outlineLevel="2">
      <c r="A2309" s="162"/>
      <c r="B2309" s="163"/>
      <c r="C2309" s="236" t="s">
        <v>891</v>
      </c>
      <c r="D2309" s="361"/>
      <c r="E2309" s="164"/>
      <c r="F2309" s="165"/>
      <c r="G2309" s="197"/>
      <c r="H2309" s="157"/>
      <c r="I2309" s="157"/>
      <c r="J2309" s="157"/>
      <c r="K2309" s="158"/>
      <c r="L2309" s="155"/>
      <c r="M2309" s="156"/>
      <c r="N2309" s="250"/>
      <c r="O2309" s="157"/>
      <c r="P2309" s="248"/>
      <c r="Q2309" s="158"/>
      <c r="R2309" s="255"/>
      <c r="S2309" s="159"/>
      <c r="T2309" s="225"/>
      <c r="U2309" s="170"/>
      <c r="W2309" s="253"/>
    </row>
    <row r="2310" spans="1:23" hidden="1" outlineLevel="2">
      <c r="A2310" s="162"/>
      <c r="B2310" s="163"/>
      <c r="C2310" s="236" t="s">
        <v>893</v>
      </c>
      <c r="D2310" s="361"/>
      <c r="E2310" s="164"/>
      <c r="F2310" s="165"/>
      <c r="G2310" s="197"/>
      <c r="H2310" s="157"/>
      <c r="I2310" s="157"/>
      <c r="J2310" s="157"/>
      <c r="K2310" s="158"/>
      <c r="L2310" s="155"/>
      <c r="M2310" s="156"/>
      <c r="N2310" s="250"/>
      <c r="O2310" s="157"/>
      <c r="P2310" s="248"/>
      <c r="Q2310" s="158"/>
      <c r="R2310" s="255"/>
      <c r="S2310" s="159"/>
      <c r="T2310" s="225"/>
      <c r="U2310" s="170"/>
      <c r="W2310" s="253"/>
    </row>
    <row r="2311" spans="1:23" hidden="1" outlineLevel="2">
      <c r="A2311" s="162"/>
      <c r="B2311" s="163"/>
      <c r="C2311" s="236" t="s">
        <v>894</v>
      </c>
      <c r="D2311" s="361"/>
      <c r="E2311" s="164"/>
      <c r="F2311" s="165"/>
      <c r="G2311" s="197"/>
      <c r="H2311" s="157"/>
      <c r="I2311" s="157"/>
      <c r="J2311" s="157"/>
      <c r="K2311" s="158"/>
      <c r="L2311" s="155"/>
      <c r="M2311" s="156"/>
      <c r="N2311" s="250"/>
      <c r="O2311" s="157"/>
      <c r="P2311" s="248"/>
      <c r="Q2311" s="158"/>
      <c r="R2311" s="255"/>
      <c r="S2311" s="159"/>
      <c r="T2311" s="225"/>
      <c r="U2311" s="170"/>
      <c r="W2311" s="253"/>
    </row>
    <row r="2312" spans="1:23" hidden="1" outlineLevel="2">
      <c r="A2312" s="162"/>
      <c r="B2312" s="163"/>
      <c r="C2312" s="236" t="s">
        <v>895</v>
      </c>
      <c r="D2312" s="361"/>
      <c r="E2312" s="164"/>
      <c r="F2312" s="165"/>
      <c r="G2312" s="197"/>
      <c r="H2312" s="157"/>
      <c r="I2312" s="157"/>
      <c r="J2312" s="157"/>
      <c r="K2312" s="158"/>
      <c r="L2312" s="155"/>
      <c r="M2312" s="156"/>
      <c r="N2312" s="250"/>
      <c r="O2312" s="157"/>
      <c r="P2312" s="248"/>
      <c r="Q2312" s="158"/>
      <c r="R2312" s="255"/>
      <c r="S2312" s="159"/>
      <c r="T2312" s="225"/>
      <c r="U2312" s="170"/>
      <c r="W2312" s="253"/>
    </row>
    <row r="2313" spans="1:23" hidden="1" outlineLevel="2">
      <c r="A2313" s="162"/>
      <c r="B2313" s="163"/>
      <c r="C2313" s="236" t="s">
        <v>896</v>
      </c>
      <c r="D2313" s="361"/>
      <c r="E2313" s="164"/>
      <c r="F2313" s="165"/>
      <c r="G2313" s="197"/>
      <c r="H2313" s="157"/>
      <c r="I2313" s="157"/>
      <c r="J2313" s="157"/>
      <c r="K2313" s="158"/>
      <c r="L2313" s="155"/>
      <c r="M2313" s="156"/>
      <c r="N2313" s="250"/>
      <c r="O2313" s="157"/>
      <c r="P2313" s="248"/>
      <c r="Q2313" s="158"/>
      <c r="R2313" s="255"/>
      <c r="S2313" s="159"/>
      <c r="T2313" s="225"/>
      <c r="U2313" s="170"/>
      <c r="W2313" s="253"/>
    </row>
    <row r="2314" spans="1:23" hidden="1" outlineLevel="2">
      <c r="A2314" s="162"/>
      <c r="B2314" s="163"/>
      <c r="C2314" s="236" t="s">
        <v>897</v>
      </c>
      <c r="D2314" s="361"/>
      <c r="E2314" s="164"/>
      <c r="F2314" s="165"/>
      <c r="G2314" s="197"/>
      <c r="H2314" s="157"/>
      <c r="I2314" s="157"/>
      <c r="J2314" s="157"/>
      <c r="K2314" s="158"/>
      <c r="L2314" s="155"/>
      <c r="M2314" s="156"/>
      <c r="N2314" s="250"/>
      <c r="O2314" s="157"/>
      <c r="P2314" s="248"/>
      <c r="Q2314" s="158"/>
      <c r="R2314" s="255"/>
      <c r="S2314" s="159"/>
      <c r="T2314" s="225"/>
      <c r="U2314" s="170"/>
      <c r="W2314" s="253"/>
    </row>
    <row r="2315" spans="1:23" hidden="1" outlineLevel="2">
      <c r="A2315" s="162"/>
      <c r="B2315" s="163"/>
      <c r="C2315" s="236" t="s">
        <v>898</v>
      </c>
      <c r="D2315" s="361"/>
      <c r="E2315" s="164"/>
      <c r="F2315" s="165"/>
      <c r="G2315" s="197"/>
      <c r="H2315" s="157"/>
      <c r="I2315" s="157"/>
      <c r="J2315" s="157"/>
      <c r="K2315" s="158"/>
      <c r="L2315" s="155"/>
      <c r="M2315" s="156"/>
      <c r="N2315" s="250"/>
      <c r="O2315" s="157"/>
      <c r="P2315" s="248"/>
      <c r="Q2315" s="158"/>
      <c r="R2315" s="255"/>
      <c r="S2315" s="159"/>
      <c r="T2315" s="225"/>
      <c r="U2315" s="170"/>
      <c r="W2315" s="253"/>
    </row>
    <row r="2316" spans="1:23" hidden="1" outlineLevel="2">
      <c r="A2316" s="162"/>
      <c r="B2316" s="163"/>
      <c r="C2316" s="236" t="s">
        <v>379</v>
      </c>
      <c r="D2316" s="361"/>
      <c r="E2316" s="164"/>
      <c r="F2316" s="165"/>
      <c r="G2316" s="197"/>
      <c r="H2316" s="157"/>
      <c r="I2316" s="157"/>
      <c r="J2316" s="157"/>
      <c r="K2316" s="158"/>
      <c r="L2316" s="155"/>
      <c r="M2316" s="156"/>
      <c r="N2316" s="250"/>
      <c r="O2316" s="157"/>
      <c r="P2316" s="248"/>
      <c r="Q2316" s="158"/>
      <c r="R2316" s="255"/>
      <c r="S2316" s="159"/>
      <c r="T2316" s="225"/>
      <c r="U2316" s="170"/>
      <c r="W2316" s="253"/>
    </row>
    <row r="2317" spans="1:23" hidden="1" outlineLevel="1" collapsed="1">
      <c r="A2317" s="162"/>
      <c r="B2317" s="163"/>
      <c r="C2317" s="151" t="s">
        <v>549</v>
      </c>
      <c r="D2317" s="339"/>
      <c r="E2317" s="164"/>
      <c r="F2317" s="165"/>
      <c r="G2317" s="197"/>
      <c r="H2317" s="157"/>
      <c r="I2317" s="157"/>
      <c r="J2317" s="157"/>
      <c r="K2317" s="158"/>
      <c r="L2317" s="155"/>
      <c r="M2317" s="156"/>
      <c r="N2317" s="250"/>
      <c r="O2317" s="157"/>
      <c r="P2317" s="248"/>
      <c r="Q2317" s="158"/>
      <c r="R2317" s="255"/>
      <c r="S2317" s="159"/>
      <c r="T2317" s="225"/>
      <c r="U2317" s="170"/>
      <c r="W2317" s="310"/>
    </row>
    <row r="2318" spans="1:23" s="233" customFormat="1" hidden="1" outlineLevel="2">
      <c r="A2318" s="312"/>
      <c r="B2318" s="151" t="s">
        <v>555</v>
      </c>
      <c r="C2318" s="171"/>
      <c r="D2318" s="343"/>
      <c r="E2318" s="157"/>
      <c r="F2318" s="158"/>
      <c r="G2318" s="197"/>
      <c r="H2318" s="157"/>
      <c r="I2318" s="157"/>
      <c r="J2318" s="157"/>
      <c r="K2318" s="158"/>
      <c r="L2318" s="155"/>
      <c r="M2318" s="156"/>
      <c r="N2318" s="250"/>
      <c r="O2318" s="157"/>
      <c r="P2318" s="248"/>
      <c r="Q2318" s="158"/>
      <c r="R2318" s="255"/>
      <c r="S2318" s="159"/>
      <c r="T2318" s="225"/>
      <c r="U2318" s="161"/>
    </row>
    <row r="2319" spans="1:23" hidden="1" outlineLevel="2">
      <c r="A2319" s="162"/>
      <c r="B2319" s="163"/>
      <c r="C2319" s="236" t="s">
        <v>891</v>
      </c>
      <c r="D2319" s="361"/>
      <c r="E2319" s="164"/>
      <c r="F2319" s="165"/>
      <c r="G2319" s="197"/>
      <c r="H2319" s="157"/>
      <c r="I2319" s="157"/>
      <c r="J2319" s="157"/>
      <c r="K2319" s="158"/>
      <c r="L2319" s="155"/>
      <c r="M2319" s="156"/>
      <c r="N2319" s="250"/>
      <c r="O2319" s="157"/>
      <c r="P2319" s="248"/>
      <c r="Q2319" s="158"/>
      <c r="R2319" s="255"/>
      <c r="S2319" s="159"/>
      <c r="T2319" s="225"/>
      <c r="U2319" s="170"/>
      <c r="W2319" s="253"/>
    </row>
    <row r="2320" spans="1:23" hidden="1" outlineLevel="2">
      <c r="A2320" s="162"/>
      <c r="B2320" s="163"/>
      <c r="C2320" s="236" t="s">
        <v>893</v>
      </c>
      <c r="D2320" s="361"/>
      <c r="E2320" s="164"/>
      <c r="F2320" s="165"/>
      <c r="G2320" s="197"/>
      <c r="H2320" s="157"/>
      <c r="I2320" s="157"/>
      <c r="J2320" s="157"/>
      <c r="K2320" s="158"/>
      <c r="L2320" s="155"/>
      <c r="M2320" s="156"/>
      <c r="N2320" s="250"/>
      <c r="O2320" s="157"/>
      <c r="P2320" s="248"/>
      <c r="Q2320" s="158"/>
      <c r="R2320" s="255"/>
      <c r="S2320" s="159"/>
      <c r="T2320" s="225"/>
      <c r="U2320" s="170"/>
      <c r="W2320" s="253"/>
    </row>
    <row r="2321" spans="1:23" hidden="1" outlineLevel="2">
      <c r="A2321" s="162"/>
      <c r="B2321" s="163"/>
      <c r="C2321" s="236" t="s">
        <v>894</v>
      </c>
      <c r="D2321" s="361"/>
      <c r="E2321" s="164"/>
      <c r="F2321" s="165"/>
      <c r="G2321" s="197"/>
      <c r="H2321" s="157"/>
      <c r="I2321" s="157"/>
      <c r="J2321" s="157"/>
      <c r="K2321" s="158"/>
      <c r="L2321" s="155"/>
      <c r="M2321" s="156"/>
      <c r="N2321" s="250"/>
      <c r="O2321" s="157"/>
      <c r="P2321" s="248"/>
      <c r="Q2321" s="158"/>
      <c r="R2321" s="255"/>
      <c r="S2321" s="159"/>
      <c r="T2321" s="225"/>
      <c r="U2321" s="170"/>
      <c r="W2321" s="253"/>
    </row>
    <row r="2322" spans="1:23" hidden="1" outlineLevel="2">
      <c r="A2322" s="162"/>
      <c r="B2322" s="163"/>
      <c r="C2322" s="236" t="s">
        <v>895</v>
      </c>
      <c r="D2322" s="361"/>
      <c r="E2322" s="164"/>
      <c r="F2322" s="165"/>
      <c r="G2322" s="197"/>
      <c r="H2322" s="157"/>
      <c r="I2322" s="157"/>
      <c r="J2322" s="157"/>
      <c r="K2322" s="158"/>
      <c r="L2322" s="155"/>
      <c r="M2322" s="156"/>
      <c r="N2322" s="250"/>
      <c r="O2322" s="157"/>
      <c r="P2322" s="248"/>
      <c r="Q2322" s="158"/>
      <c r="R2322" s="255"/>
      <c r="S2322" s="159"/>
      <c r="T2322" s="225"/>
      <c r="U2322" s="170"/>
      <c r="W2322" s="253"/>
    </row>
    <row r="2323" spans="1:23" hidden="1" outlineLevel="2">
      <c r="A2323" s="162"/>
      <c r="B2323" s="163"/>
      <c r="C2323" s="236" t="s">
        <v>896</v>
      </c>
      <c r="D2323" s="361"/>
      <c r="E2323" s="164"/>
      <c r="F2323" s="165"/>
      <c r="G2323" s="197"/>
      <c r="H2323" s="157"/>
      <c r="I2323" s="157"/>
      <c r="J2323" s="157"/>
      <c r="K2323" s="158"/>
      <c r="L2323" s="155"/>
      <c r="M2323" s="156"/>
      <c r="N2323" s="250"/>
      <c r="O2323" s="157"/>
      <c r="P2323" s="248"/>
      <c r="Q2323" s="158"/>
      <c r="R2323" s="255"/>
      <c r="S2323" s="159"/>
      <c r="T2323" s="225"/>
      <c r="U2323" s="170"/>
      <c r="W2323" s="253"/>
    </row>
    <row r="2324" spans="1:23" hidden="1" outlineLevel="2">
      <c r="A2324" s="162"/>
      <c r="B2324" s="163"/>
      <c r="C2324" s="236" t="s">
        <v>897</v>
      </c>
      <c r="D2324" s="361"/>
      <c r="E2324" s="164"/>
      <c r="F2324" s="165"/>
      <c r="G2324" s="197"/>
      <c r="H2324" s="157"/>
      <c r="I2324" s="157"/>
      <c r="J2324" s="157"/>
      <c r="K2324" s="158"/>
      <c r="L2324" s="155"/>
      <c r="M2324" s="156"/>
      <c r="N2324" s="250"/>
      <c r="O2324" s="157"/>
      <c r="P2324" s="248"/>
      <c r="Q2324" s="158"/>
      <c r="R2324" s="255"/>
      <c r="S2324" s="159"/>
      <c r="T2324" s="225"/>
      <c r="U2324" s="170"/>
      <c r="W2324" s="253"/>
    </row>
    <row r="2325" spans="1:23" hidden="1" outlineLevel="2">
      <c r="A2325" s="162"/>
      <c r="B2325" s="163"/>
      <c r="C2325" s="236" t="s">
        <v>898</v>
      </c>
      <c r="D2325" s="361"/>
      <c r="E2325" s="164"/>
      <c r="F2325" s="165"/>
      <c r="G2325" s="197"/>
      <c r="H2325" s="157"/>
      <c r="I2325" s="157"/>
      <c r="J2325" s="157"/>
      <c r="K2325" s="158"/>
      <c r="L2325" s="155"/>
      <c r="M2325" s="156"/>
      <c r="N2325" s="250"/>
      <c r="O2325" s="157"/>
      <c r="P2325" s="248"/>
      <c r="Q2325" s="158"/>
      <c r="R2325" s="255"/>
      <c r="S2325" s="159"/>
      <c r="T2325" s="225"/>
      <c r="U2325" s="170"/>
      <c r="W2325" s="253"/>
    </row>
    <row r="2326" spans="1:23" hidden="1" outlineLevel="2">
      <c r="A2326" s="162"/>
      <c r="B2326" s="163"/>
      <c r="C2326" s="236" t="s">
        <v>379</v>
      </c>
      <c r="D2326" s="361"/>
      <c r="E2326" s="164"/>
      <c r="F2326" s="165"/>
      <c r="G2326" s="197"/>
      <c r="H2326" s="157"/>
      <c r="I2326" s="157"/>
      <c r="J2326" s="157"/>
      <c r="K2326" s="158"/>
      <c r="L2326" s="155"/>
      <c r="M2326" s="156"/>
      <c r="N2326" s="250"/>
      <c r="O2326" s="157"/>
      <c r="P2326" s="248"/>
      <c r="Q2326" s="158"/>
      <c r="R2326" s="255"/>
      <c r="S2326" s="159"/>
      <c r="T2326" s="225"/>
      <c r="U2326" s="170"/>
      <c r="W2326" s="253"/>
    </row>
    <row r="2327" spans="1:23" hidden="1" outlineLevel="1" collapsed="1">
      <c r="A2327" s="162"/>
      <c r="B2327" s="163"/>
      <c r="C2327" s="151" t="s">
        <v>555</v>
      </c>
      <c r="D2327" s="339"/>
      <c r="E2327" s="164"/>
      <c r="F2327" s="165"/>
      <c r="G2327" s="197"/>
      <c r="H2327" s="157"/>
      <c r="I2327" s="157"/>
      <c r="J2327" s="157"/>
      <c r="K2327" s="158"/>
      <c r="L2327" s="155"/>
      <c r="M2327" s="156"/>
      <c r="N2327" s="250"/>
      <c r="O2327" s="157"/>
      <c r="P2327" s="248"/>
      <c r="Q2327" s="158"/>
      <c r="R2327" s="255"/>
      <c r="S2327" s="159"/>
      <c r="T2327" s="225"/>
      <c r="U2327" s="170"/>
      <c r="W2327" s="310"/>
    </row>
    <row r="2328" spans="1:23" s="233" customFormat="1" hidden="1" outlineLevel="2">
      <c r="A2328" s="312"/>
      <c r="B2328" s="151" t="s">
        <v>573</v>
      </c>
      <c r="C2328" s="171"/>
      <c r="D2328" s="343"/>
      <c r="E2328" s="157"/>
      <c r="F2328" s="158"/>
      <c r="G2328" s="197"/>
      <c r="H2328" s="157"/>
      <c r="I2328" s="157"/>
      <c r="J2328" s="157"/>
      <c r="K2328" s="158"/>
      <c r="L2328" s="155"/>
      <c r="M2328" s="156"/>
      <c r="N2328" s="250"/>
      <c r="O2328" s="157"/>
      <c r="P2328" s="248"/>
      <c r="Q2328" s="158"/>
      <c r="R2328" s="255"/>
      <c r="S2328" s="159"/>
      <c r="T2328" s="225"/>
      <c r="U2328" s="161"/>
    </row>
    <row r="2329" spans="1:23" hidden="1" outlineLevel="2">
      <c r="A2329" s="162"/>
      <c r="B2329" s="163"/>
      <c r="C2329" s="236" t="s">
        <v>891</v>
      </c>
      <c r="D2329" s="361"/>
      <c r="E2329" s="164"/>
      <c r="F2329" s="165"/>
      <c r="G2329" s="197"/>
      <c r="H2329" s="157"/>
      <c r="I2329" s="157"/>
      <c r="J2329" s="157"/>
      <c r="K2329" s="158"/>
      <c r="L2329" s="155"/>
      <c r="M2329" s="156"/>
      <c r="N2329" s="250"/>
      <c r="O2329" s="157"/>
      <c r="P2329" s="248"/>
      <c r="Q2329" s="158"/>
      <c r="R2329" s="255"/>
      <c r="S2329" s="159"/>
      <c r="T2329" s="225"/>
      <c r="U2329" s="170"/>
      <c r="W2329" s="253"/>
    </row>
    <row r="2330" spans="1:23" hidden="1" outlineLevel="2">
      <c r="A2330" s="162"/>
      <c r="B2330" s="163"/>
      <c r="C2330" s="236" t="s">
        <v>893</v>
      </c>
      <c r="D2330" s="361"/>
      <c r="E2330" s="164"/>
      <c r="F2330" s="165"/>
      <c r="G2330" s="197"/>
      <c r="H2330" s="157"/>
      <c r="I2330" s="157"/>
      <c r="J2330" s="157"/>
      <c r="K2330" s="158"/>
      <c r="L2330" s="155"/>
      <c r="M2330" s="156"/>
      <c r="N2330" s="250"/>
      <c r="O2330" s="157"/>
      <c r="P2330" s="248"/>
      <c r="Q2330" s="158"/>
      <c r="R2330" s="255"/>
      <c r="S2330" s="159"/>
      <c r="T2330" s="225"/>
      <c r="U2330" s="170"/>
      <c r="W2330" s="253"/>
    </row>
    <row r="2331" spans="1:23" hidden="1" outlineLevel="2">
      <c r="A2331" s="162"/>
      <c r="B2331" s="163"/>
      <c r="C2331" s="236" t="s">
        <v>894</v>
      </c>
      <c r="D2331" s="361"/>
      <c r="E2331" s="164"/>
      <c r="F2331" s="165"/>
      <c r="G2331" s="197"/>
      <c r="H2331" s="157"/>
      <c r="I2331" s="157"/>
      <c r="J2331" s="157"/>
      <c r="K2331" s="158"/>
      <c r="L2331" s="155"/>
      <c r="M2331" s="156"/>
      <c r="N2331" s="250"/>
      <c r="O2331" s="157"/>
      <c r="P2331" s="248"/>
      <c r="Q2331" s="158"/>
      <c r="R2331" s="255"/>
      <c r="S2331" s="159"/>
      <c r="T2331" s="225"/>
      <c r="U2331" s="170"/>
      <c r="W2331" s="253"/>
    </row>
    <row r="2332" spans="1:23" hidden="1" outlineLevel="2">
      <c r="A2332" s="162"/>
      <c r="B2332" s="163"/>
      <c r="C2332" s="236" t="s">
        <v>895</v>
      </c>
      <c r="D2332" s="361"/>
      <c r="E2332" s="164"/>
      <c r="F2332" s="165"/>
      <c r="G2332" s="197"/>
      <c r="H2332" s="157"/>
      <c r="I2332" s="157"/>
      <c r="J2332" s="157"/>
      <c r="K2332" s="158"/>
      <c r="L2332" s="155"/>
      <c r="M2332" s="156"/>
      <c r="N2332" s="250"/>
      <c r="O2332" s="157"/>
      <c r="P2332" s="248"/>
      <c r="Q2332" s="158"/>
      <c r="R2332" s="255"/>
      <c r="S2332" s="159"/>
      <c r="T2332" s="225"/>
      <c r="U2332" s="170"/>
      <c r="W2332" s="253"/>
    </row>
    <row r="2333" spans="1:23" hidden="1" outlineLevel="2">
      <c r="A2333" s="162"/>
      <c r="B2333" s="163"/>
      <c r="C2333" s="236" t="s">
        <v>896</v>
      </c>
      <c r="D2333" s="361"/>
      <c r="E2333" s="164"/>
      <c r="F2333" s="165"/>
      <c r="G2333" s="197"/>
      <c r="H2333" s="157"/>
      <c r="I2333" s="157"/>
      <c r="J2333" s="157"/>
      <c r="K2333" s="158"/>
      <c r="L2333" s="155"/>
      <c r="M2333" s="156"/>
      <c r="N2333" s="250"/>
      <c r="O2333" s="157"/>
      <c r="P2333" s="248"/>
      <c r="Q2333" s="158"/>
      <c r="R2333" s="255"/>
      <c r="S2333" s="159"/>
      <c r="T2333" s="225"/>
      <c r="U2333" s="170"/>
      <c r="W2333" s="253"/>
    </row>
    <row r="2334" spans="1:23" hidden="1" outlineLevel="2">
      <c r="A2334" s="162"/>
      <c r="B2334" s="163"/>
      <c r="C2334" s="236" t="s">
        <v>897</v>
      </c>
      <c r="D2334" s="361"/>
      <c r="E2334" s="164"/>
      <c r="F2334" s="165"/>
      <c r="G2334" s="197"/>
      <c r="H2334" s="157"/>
      <c r="I2334" s="157"/>
      <c r="J2334" s="157"/>
      <c r="K2334" s="158"/>
      <c r="L2334" s="155"/>
      <c r="M2334" s="156"/>
      <c r="N2334" s="250"/>
      <c r="O2334" s="157"/>
      <c r="P2334" s="248"/>
      <c r="Q2334" s="158"/>
      <c r="R2334" s="255"/>
      <c r="S2334" s="159"/>
      <c r="T2334" s="225"/>
      <c r="U2334" s="170"/>
      <c r="W2334" s="253"/>
    </row>
    <row r="2335" spans="1:23" hidden="1" outlineLevel="2">
      <c r="A2335" s="162"/>
      <c r="B2335" s="163"/>
      <c r="C2335" s="236" t="s">
        <v>898</v>
      </c>
      <c r="D2335" s="361"/>
      <c r="E2335" s="164"/>
      <c r="F2335" s="165"/>
      <c r="G2335" s="197"/>
      <c r="H2335" s="157"/>
      <c r="I2335" s="157"/>
      <c r="J2335" s="157"/>
      <c r="K2335" s="158"/>
      <c r="L2335" s="155"/>
      <c r="M2335" s="156"/>
      <c r="N2335" s="250"/>
      <c r="O2335" s="157"/>
      <c r="P2335" s="248"/>
      <c r="Q2335" s="158"/>
      <c r="R2335" s="255"/>
      <c r="S2335" s="159"/>
      <c r="T2335" s="225"/>
      <c r="U2335" s="170"/>
      <c r="W2335" s="253"/>
    </row>
    <row r="2336" spans="1:23" hidden="1" outlineLevel="2">
      <c r="A2336" s="162"/>
      <c r="B2336" s="163"/>
      <c r="C2336" s="236" t="s">
        <v>379</v>
      </c>
      <c r="D2336" s="361"/>
      <c r="E2336" s="164"/>
      <c r="F2336" s="165"/>
      <c r="G2336" s="197"/>
      <c r="H2336" s="157"/>
      <c r="I2336" s="157"/>
      <c r="J2336" s="157"/>
      <c r="K2336" s="158"/>
      <c r="L2336" s="155"/>
      <c r="M2336" s="156"/>
      <c r="N2336" s="250"/>
      <c r="O2336" s="157"/>
      <c r="P2336" s="248"/>
      <c r="Q2336" s="158"/>
      <c r="R2336" s="255"/>
      <c r="S2336" s="159"/>
      <c r="T2336" s="225"/>
      <c r="U2336" s="170"/>
      <c r="W2336" s="253"/>
    </row>
    <row r="2337" spans="1:23" hidden="1" outlineLevel="1" collapsed="1">
      <c r="A2337" s="162"/>
      <c r="B2337" s="163"/>
      <c r="C2337" s="151" t="s">
        <v>573</v>
      </c>
      <c r="D2337" s="361"/>
      <c r="E2337" s="164"/>
      <c r="F2337" s="165"/>
      <c r="G2337" s="197"/>
      <c r="H2337" s="157"/>
      <c r="I2337" s="157"/>
      <c r="J2337" s="157"/>
      <c r="K2337" s="158"/>
      <c r="L2337" s="155"/>
      <c r="M2337" s="156"/>
      <c r="N2337" s="250"/>
      <c r="O2337" s="157"/>
      <c r="P2337" s="248"/>
      <c r="Q2337" s="158"/>
      <c r="R2337" s="255"/>
      <c r="S2337" s="159"/>
      <c r="T2337" s="225"/>
      <c r="U2337" s="170"/>
      <c r="W2337" s="310"/>
    </row>
    <row r="2338" spans="1:23" s="233" customFormat="1" hidden="1" outlineLevel="2">
      <c r="A2338" s="312"/>
      <c r="B2338" s="151" t="s">
        <v>933</v>
      </c>
      <c r="C2338" s="171"/>
      <c r="D2338" s="343"/>
      <c r="E2338" s="157"/>
      <c r="F2338" s="158"/>
      <c r="G2338" s="197"/>
      <c r="H2338" s="157"/>
      <c r="I2338" s="157"/>
      <c r="J2338" s="157"/>
      <c r="K2338" s="158"/>
      <c r="L2338" s="155"/>
      <c r="M2338" s="156"/>
      <c r="N2338" s="250"/>
      <c r="O2338" s="157"/>
      <c r="P2338" s="248"/>
      <c r="Q2338" s="158"/>
      <c r="R2338" s="255"/>
      <c r="S2338" s="159"/>
      <c r="T2338" s="225"/>
      <c r="U2338" s="161"/>
    </row>
    <row r="2339" spans="1:23" hidden="1" outlineLevel="2">
      <c r="A2339" s="162"/>
      <c r="B2339" s="163"/>
      <c r="C2339" s="236" t="s">
        <v>891</v>
      </c>
      <c r="D2339" s="361"/>
      <c r="E2339" s="164"/>
      <c r="F2339" s="165"/>
      <c r="G2339" s="197"/>
      <c r="H2339" s="157"/>
      <c r="I2339" s="157"/>
      <c r="J2339" s="157"/>
      <c r="K2339" s="158"/>
      <c r="L2339" s="155"/>
      <c r="M2339" s="156"/>
      <c r="N2339" s="250"/>
      <c r="O2339" s="157"/>
      <c r="P2339" s="248"/>
      <c r="Q2339" s="158"/>
      <c r="R2339" s="255"/>
      <c r="S2339" s="159"/>
      <c r="T2339" s="225"/>
      <c r="U2339" s="170"/>
      <c r="W2339" s="253"/>
    </row>
    <row r="2340" spans="1:23" hidden="1" outlineLevel="2">
      <c r="A2340" s="162"/>
      <c r="B2340" s="163"/>
      <c r="C2340" s="236" t="s">
        <v>893</v>
      </c>
      <c r="D2340" s="361"/>
      <c r="E2340" s="164"/>
      <c r="F2340" s="165"/>
      <c r="G2340" s="197"/>
      <c r="H2340" s="157"/>
      <c r="I2340" s="157"/>
      <c r="J2340" s="157"/>
      <c r="K2340" s="158"/>
      <c r="L2340" s="155"/>
      <c r="M2340" s="156"/>
      <c r="N2340" s="250"/>
      <c r="O2340" s="157"/>
      <c r="P2340" s="248"/>
      <c r="Q2340" s="158"/>
      <c r="R2340" s="255"/>
      <c r="S2340" s="159"/>
      <c r="T2340" s="225"/>
      <c r="U2340" s="170"/>
      <c r="W2340" s="253"/>
    </row>
    <row r="2341" spans="1:23" hidden="1" outlineLevel="2">
      <c r="A2341" s="162"/>
      <c r="B2341" s="163"/>
      <c r="C2341" s="236" t="s">
        <v>894</v>
      </c>
      <c r="D2341" s="361"/>
      <c r="E2341" s="164"/>
      <c r="F2341" s="165"/>
      <c r="G2341" s="197"/>
      <c r="H2341" s="157"/>
      <c r="I2341" s="157"/>
      <c r="J2341" s="157"/>
      <c r="K2341" s="158"/>
      <c r="L2341" s="155"/>
      <c r="M2341" s="156"/>
      <c r="N2341" s="250"/>
      <c r="O2341" s="157"/>
      <c r="P2341" s="248"/>
      <c r="Q2341" s="158"/>
      <c r="R2341" s="255"/>
      <c r="S2341" s="159"/>
      <c r="T2341" s="225"/>
      <c r="U2341" s="170"/>
      <c r="W2341" s="253"/>
    </row>
    <row r="2342" spans="1:23" hidden="1" outlineLevel="2">
      <c r="A2342" s="162"/>
      <c r="B2342" s="163"/>
      <c r="C2342" s="236" t="s">
        <v>895</v>
      </c>
      <c r="D2342" s="361"/>
      <c r="E2342" s="164"/>
      <c r="F2342" s="165"/>
      <c r="G2342" s="197"/>
      <c r="H2342" s="157"/>
      <c r="I2342" s="157"/>
      <c r="J2342" s="157"/>
      <c r="K2342" s="158"/>
      <c r="L2342" s="155"/>
      <c r="M2342" s="156"/>
      <c r="N2342" s="250"/>
      <c r="O2342" s="157"/>
      <c r="P2342" s="248"/>
      <c r="Q2342" s="158"/>
      <c r="R2342" s="255"/>
      <c r="S2342" s="159"/>
      <c r="T2342" s="225"/>
      <c r="U2342" s="170"/>
      <c r="W2342" s="253"/>
    </row>
    <row r="2343" spans="1:23" hidden="1" outlineLevel="2">
      <c r="A2343" s="162"/>
      <c r="B2343" s="163"/>
      <c r="C2343" s="236" t="s">
        <v>896</v>
      </c>
      <c r="D2343" s="361"/>
      <c r="E2343" s="164"/>
      <c r="F2343" s="165"/>
      <c r="G2343" s="197"/>
      <c r="H2343" s="157"/>
      <c r="I2343" s="157"/>
      <c r="J2343" s="157"/>
      <c r="K2343" s="158"/>
      <c r="L2343" s="155"/>
      <c r="M2343" s="156"/>
      <c r="N2343" s="250"/>
      <c r="O2343" s="157"/>
      <c r="P2343" s="248"/>
      <c r="Q2343" s="158"/>
      <c r="R2343" s="255"/>
      <c r="S2343" s="159"/>
      <c r="T2343" s="225"/>
      <c r="U2343" s="170"/>
      <c r="W2343" s="253"/>
    </row>
    <row r="2344" spans="1:23" hidden="1" outlineLevel="2">
      <c r="A2344" s="162"/>
      <c r="B2344" s="163"/>
      <c r="C2344" s="236" t="s">
        <v>897</v>
      </c>
      <c r="D2344" s="361"/>
      <c r="E2344" s="164"/>
      <c r="F2344" s="165"/>
      <c r="G2344" s="197"/>
      <c r="H2344" s="157"/>
      <c r="I2344" s="157"/>
      <c r="J2344" s="157"/>
      <c r="K2344" s="158"/>
      <c r="L2344" s="155"/>
      <c r="M2344" s="156"/>
      <c r="N2344" s="250"/>
      <c r="O2344" s="157"/>
      <c r="P2344" s="248"/>
      <c r="Q2344" s="158"/>
      <c r="R2344" s="255"/>
      <c r="S2344" s="159"/>
      <c r="T2344" s="225"/>
      <c r="U2344" s="170"/>
      <c r="W2344" s="253"/>
    </row>
    <row r="2345" spans="1:23" hidden="1" outlineLevel="2">
      <c r="A2345" s="162"/>
      <c r="B2345" s="163"/>
      <c r="C2345" s="236" t="s">
        <v>898</v>
      </c>
      <c r="D2345" s="361"/>
      <c r="E2345" s="164"/>
      <c r="F2345" s="165"/>
      <c r="G2345" s="197"/>
      <c r="H2345" s="157"/>
      <c r="I2345" s="157"/>
      <c r="J2345" s="157"/>
      <c r="K2345" s="158"/>
      <c r="L2345" s="155"/>
      <c r="M2345" s="156"/>
      <c r="N2345" s="250"/>
      <c r="O2345" s="157"/>
      <c r="P2345" s="248"/>
      <c r="Q2345" s="158"/>
      <c r="R2345" s="255"/>
      <c r="S2345" s="159"/>
      <c r="T2345" s="225"/>
      <c r="U2345" s="170"/>
      <c r="W2345" s="253"/>
    </row>
    <row r="2346" spans="1:23" hidden="1" outlineLevel="2">
      <c r="A2346" s="162"/>
      <c r="B2346" s="163"/>
      <c r="C2346" s="236" t="s">
        <v>379</v>
      </c>
      <c r="D2346" s="361"/>
      <c r="E2346" s="164"/>
      <c r="F2346" s="165"/>
      <c r="G2346" s="197"/>
      <c r="H2346" s="157"/>
      <c r="I2346" s="157"/>
      <c r="J2346" s="157"/>
      <c r="K2346" s="158"/>
      <c r="L2346" s="155"/>
      <c r="M2346" s="156"/>
      <c r="N2346" s="250"/>
      <c r="O2346" s="157"/>
      <c r="P2346" s="248"/>
      <c r="Q2346" s="158"/>
      <c r="R2346" s="255"/>
      <c r="S2346" s="159"/>
      <c r="T2346" s="225"/>
      <c r="U2346" s="170"/>
      <c r="W2346" s="253"/>
    </row>
    <row r="2347" spans="1:23" hidden="1" outlineLevel="1" collapsed="1">
      <c r="A2347" s="162"/>
      <c r="B2347" s="163"/>
      <c r="C2347" s="151" t="s">
        <v>933</v>
      </c>
      <c r="D2347" s="339"/>
      <c r="E2347" s="164"/>
      <c r="F2347" s="165"/>
      <c r="G2347" s="197"/>
      <c r="H2347" s="157"/>
      <c r="I2347" s="157"/>
      <c r="J2347" s="157"/>
      <c r="K2347" s="158"/>
      <c r="L2347" s="155"/>
      <c r="M2347" s="156"/>
      <c r="N2347" s="250"/>
      <c r="O2347" s="157"/>
      <c r="P2347" s="248"/>
      <c r="Q2347" s="158"/>
      <c r="R2347" s="255"/>
      <c r="S2347" s="159"/>
      <c r="T2347" s="225"/>
      <c r="U2347" s="170"/>
      <c r="W2347" s="310"/>
    </row>
    <row r="2348" spans="1:23" s="233" customFormat="1" hidden="1" outlineLevel="2">
      <c r="A2348" s="312"/>
      <c r="B2348" s="151" t="s">
        <v>934</v>
      </c>
      <c r="C2348" s="171"/>
      <c r="D2348" s="343"/>
      <c r="E2348" s="157"/>
      <c r="F2348" s="158"/>
      <c r="G2348" s="197"/>
      <c r="H2348" s="157"/>
      <c r="I2348" s="157"/>
      <c r="J2348" s="157"/>
      <c r="K2348" s="158"/>
      <c r="L2348" s="155"/>
      <c r="M2348" s="156"/>
      <c r="N2348" s="250"/>
      <c r="O2348" s="157"/>
      <c r="P2348" s="248"/>
      <c r="Q2348" s="158"/>
      <c r="R2348" s="255"/>
      <c r="S2348" s="159"/>
      <c r="T2348" s="225"/>
      <c r="U2348" s="161"/>
    </row>
    <row r="2349" spans="1:23" hidden="1" outlineLevel="2">
      <c r="A2349" s="162"/>
      <c r="B2349" s="163"/>
      <c r="C2349" s="236" t="s">
        <v>891</v>
      </c>
      <c r="D2349" s="361"/>
      <c r="E2349" s="164"/>
      <c r="F2349" s="165"/>
      <c r="G2349" s="197"/>
      <c r="H2349" s="157"/>
      <c r="I2349" s="157"/>
      <c r="J2349" s="157"/>
      <c r="K2349" s="158"/>
      <c r="L2349" s="155"/>
      <c r="M2349" s="156"/>
      <c r="N2349" s="250"/>
      <c r="O2349" s="157"/>
      <c r="P2349" s="248"/>
      <c r="Q2349" s="158"/>
      <c r="R2349" s="255"/>
      <c r="S2349" s="159"/>
      <c r="T2349" s="225"/>
      <c r="U2349" s="170"/>
      <c r="W2349" s="253"/>
    </row>
    <row r="2350" spans="1:23" hidden="1" outlineLevel="2">
      <c r="A2350" s="162"/>
      <c r="B2350" s="163"/>
      <c r="C2350" s="236" t="s">
        <v>893</v>
      </c>
      <c r="D2350" s="361"/>
      <c r="E2350" s="164"/>
      <c r="F2350" s="165"/>
      <c r="G2350" s="197"/>
      <c r="H2350" s="157"/>
      <c r="I2350" s="157"/>
      <c r="J2350" s="157"/>
      <c r="K2350" s="158"/>
      <c r="L2350" s="155"/>
      <c r="M2350" s="156"/>
      <c r="N2350" s="250"/>
      <c r="O2350" s="157"/>
      <c r="P2350" s="248"/>
      <c r="Q2350" s="158"/>
      <c r="R2350" s="255"/>
      <c r="S2350" s="159"/>
      <c r="T2350" s="225"/>
      <c r="U2350" s="170"/>
      <c r="W2350" s="253"/>
    </row>
    <row r="2351" spans="1:23" hidden="1" outlineLevel="2">
      <c r="A2351" s="162"/>
      <c r="B2351" s="163"/>
      <c r="C2351" s="236" t="s">
        <v>894</v>
      </c>
      <c r="D2351" s="361"/>
      <c r="E2351" s="164"/>
      <c r="F2351" s="165"/>
      <c r="G2351" s="197"/>
      <c r="H2351" s="157"/>
      <c r="I2351" s="157"/>
      <c r="J2351" s="157"/>
      <c r="K2351" s="158"/>
      <c r="L2351" s="155"/>
      <c r="M2351" s="156"/>
      <c r="N2351" s="250"/>
      <c r="O2351" s="157"/>
      <c r="P2351" s="248"/>
      <c r="Q2351" s="158"/>
      <c r="R2351" s="255"/>
      <c r="S2351" s="159"/>
      <c r="T2351" s="225"/>
      <c r="U2351" s="170"/>
      <c r="W2351" s="253"/>
    </row>
    <row r="2352" spans="1:23" hidden="1" outlineLevel="2">
      <c r="A2352" s="162"/>
      <c r="B2352" s="163"/>
      <c r="C2352" s="236" t="s">
        <v>895</v>
      </c>
      <c r="D2352" s="361"/>
      <c r="E2352" s="164"/>
      <c r="F2352" s="165"/>
      <c r="G2352" s="197"/>
      <c r="H2352" s="157"/>
      <c r="I2352" s="157"/>
      <c r="J2352" s="157"/>
      <c r="K2352" s="158"/>
      <c r="L2352" s="155"/>
      <c r="M2352" s="156"/>
      <c r="N2352" s="250"/>
      <c r="O2352" s="157"/>
      <c r="P2352" s="248"/>
      <c r="Q2352" s="158"/>
      <c r="R2352" s="255"/>
      <c r="S2352" s="159"/>
      <c r="T2352" s="225"/>
      <c r="U2352" s="170"/>
      <c r="W2352" s="253"/>
    </row>
    <row r="2353" spans="1:23" hidden="1" outlineLevel="2">
      <c r="A2353" s="162"/>
      <c r="B2353" s="163"/>
      <c r="C2353" s="236" t="s">
        <v>896</v>
      </c>
      <c r="D2353" s="361"/>
      <c r="E2353" s="164"/>
      <c r="F2353" s="165"/>
      <c r="G2353" s="197"/>
      <c r="H2353" s="157"/>
      <c r="I2353" s="157"/>
      <c r="J2353" s="157"/>
      <c r="K2353" s="158"/>
      <c r="L2353" s="155"/>
      <c r="M2353" s="156"/>
      <c r="N2353" s="250"/>
      <c r="O2353" s="157"/>
      <c r="P2353" s="248"/>
      <c r="Q2353" s="158"/>
      <c r="R2353" s="255"/>
      <c r="S2353" s="159"/>
      <c r="T2353" s="225"/>
      <c r="U2353" s="170"/>
      <c r="W2353" s="253"/>
    </row>
    <row r="2354" spans="1:23" hidden="1" outlineLevel="2">
      <c r="A2354" s="162"/>
      <c r="B2354" s="163"/>
      <c r="C2354" s="236" t="s">
        <v>897</v>
      </c>
      <c r="D2354" s="361"/>
      <c r="E2354" s="164"/>
      <c r="F2354" s="165"/>
      <c r="G2354" s="197"/>
      <c r="H2354" s="157"/>
      <c r="I2354" s="157"/>
      <c r="J2354" s="157"/>
      <c r="K2354" s="158"/>
      <c r="L2354" s="155"/>
      <c r="M2354" s="156"/>
      <c r="N2354" s="250"/>
      <c r="O2354" s="157"/>
      <c r="P2354" s="248"/>
      <c r="Q2354" s="158"/>
      <c r="R2354" s="255"/>
      <c r="S2354" s="159"/>
      <c r="T2354" s="225"/>
      <c r="U2354" s="170"/>
      <c r="W2354" s="253"/>
    </row>
    <row r="2355" spans="1:23" hidden="1" outlineLevel="2">
      <c r="A2355" s="162"/>
      <c r="B2355" s="163"/>
      <c r="C2355" s="236" t="s">
        <v>898</v>
      </c>
      <c r="D2355" s="361"/>
      <c r="E2355" s="164"/>
      <c r="F2355" s="165"/>
      <c r="G2355" s="197"/>
      <c r="H2355" s="157"/>
      <c r="I2355" s="157"/>
      <c r="J2355" s="157"/>
      <c r="K2355" s="158"/>
      <c r="L2355" s="155"/>
      <c r="M2355" s="156"/>
      <c r="N2355" s="250"/>
      <c r="O2355" s="157"/>
      <c r="P2355" s="248"/>
      <c r="Q2355" s="158"/>
      <c r="R2355" s="255"/>
      <c r="S2355" s="159"/>
      <c r="T2355" s="225"/>
      <c r="U2355" s="170"/>
      <c r="W2355" s="253"/>
    </row>
    <row r="2356" spans="1:23" hidden="1" outlineLevel="2">
      <c r="A2356" s="162"/>
      <c r="B2356" s="163"/>
      <c r="C2356" s="236" t="s">
        <v>379</v>
      </c>
      <c r="D2356" s="361"/>
      <c r="E2356" s="164"/>
      <c r="F2356" s="165"/>
      <c r="G2356" s="197"/>
      <c r="H2356" s="157"/>
      <c r="I2356" s="157"/>
      <c r="J2356" s="157"/>
      <c r="K2356" s="158"/>
      <c r="L2356" s="155"/>
      <c r="M2356" s="156"/>
      <c r="N2356" s="250"/>
      <c r="O2356" s="157"/>
      <c r="P2356" s="248"/>
      <c r="Q2356" s="158"/>
      <c r="R2356" s="255"/>
      <c r="S2356" s="159"/>
      <c r="T2356" s="225"/>
      <c r="U2356" s="170"/>
      <c r="W2356" s="253"/>
    </row>
    <row r="2357" spans="1:23" hidden="1" outlineLevel="1" collapsed="1">
      <c r="A2357" s="162"/>
      <c r="B2357" s="163"/>
      <c r="C2357" s="151" t="s">
        <v>934</v>
      </c>
      <c r="D2357" s="339"/>
      <c r="E2357" s="164"/>
      <c r="F2357" s="165"/>
      <c r="G2357" s="197"/>
      <c r="H2357" s="157"/>
      <c r="I2357" s="157"/>
      <c r="J2357" s="157"/>
      <c r="K2357" s="158"/>
      <c r="L2357" s="155"/>
      <c r="M2357" s="156"/>
      <c r="N2357" s="250"/>
      <c r="O2357" s="157"/>
      <c r="P2357" s="248"/>
      <c r="Q2357" s="158"/>
      <c r="R2357" s="255"/>
      <c r="S2357" s="159"/>
      <c r="T2357" s="225"/>
      <c r="U2357" s="170"/>
      <c r="W2357" s="310"/>
    </row>
    <row r="2358" spans="1:23" s="233" customFormat="1" hidden="1" outlineLevel="2">
      <c r="A2358" s="312"/>
      <c r="B2358" s="151" t="s">
        <v>578</v>
      </c>
      <c r="C2358" s="171"/>
      <c r="D2358" s="343"/>
      <c r="E2358" s="157"/>
      <c r="F2358" s="158"/>
      <c r="G2358" s="197"/>
      <c r="H2358" s="157"/>
      <c r="I2358" s="157"/>
      <c r="J2358" s="157"/>
      <c r="K2358" s="158"/>
      <c r="L2358" s="155"/>
      <c r="M2358" s="156"/>
      <c r="N2358" s="250"/>
      <c r="O2358" s="157"/>
      <c r="P2358" s="248"/>
      <c r="Q2358" s="158"/>
      <c r="R2358" s="255"/>
      <c r="S2358" s="159"/>
      <c r="T2358" s="225"/>
      <c r="U2358" s="161"/>
    </row>
    <row r="2359" spans="1:23" hidden="1" outlineLevel="2">
      <c r="A2359" s="162"/>
      <c r="B2359" s="163"/>
      <c r="C2359" s="236" t="s">
        <v>891</v>
      </c>
      <c r="D2359" s="361"/>
      <c r="E2359" s="164"/>
      <c r="F2359" s="165"/>
      <c r="G2359" s="197"/>
      <c r="H2359" s="157"/>
      <c r="I2359" s="157"/>
      <c r="J2359" s="157"/>
      <c r="K2359" s="158"/>
      <c r="L2359" s="155"/>
      <c r="M2359" s="156"/>
      <c r="N2359" s="250"/>
      <c r="O2359" s="157"/>
      <c r="P2359" s="248"/>
      <c r="Q2359" s="158"/>
      <c r="R2359" s="255"/>
      <c r="S2359" s="159"/>
      <c r="T2359" s="225"/>
      <c r="U2359" s="170"/>
      <c r="W2359" s="253"/>
    </row>
    <row r="2360" spans="1:23" hidden="1" outlineLevel="2">
      <c r="A2360" s="162"/>
      <c r="B2360" s="163"/>
      <c r="C2360" s="236" t="s">
        <v>893</v>
      </c>
      <c r="D2360" s="361"/>
      <c r="E2360" s="164"/>
      <c r="F2360" s="165"/>
      <c r="G2360" s="197"/>
      <c r="H2360" s="157"/>
      <c r="I2360" s="157"/>
      <c r="J2360" s="157"/>
      <c r="K2360" s="158"/>
      <c r="L2360" s="155"/>
      <c r="M2360" s="156"/>
      <c r="N2360" s="250"/>
      <c r="O2360" s="157"/>
      <c r="P2360" s="248"/>
      <c r="Q2360" s="158"/>
      <c r="R2360" s="255"/>
      <c r="S2360" s="159"/>
      <c r="T2360" s="225"/>
      <c r="U2360" s="170"/>
      <c r="W2360" s="253"/>
    </row>
    <row r="2361" spans="1:23" hidden="1" outlineLevel="2">
      <c r="A2361" s="162"/>
      <c r="B2361" s="163"/>
      <c r="C2361" s="236" t="s">
        <v>894</v>
      </c>
      <c r="D2361" s="361"/>
      <c r="E2361" s="164"/>
      <c r="F2361" s="165"/>
      <c r="G2361" s="197"/>
      <c r="H2361" s="157"/>
      <c r="I2361" s="157"/>
      <c r="J2361" s="157"/>
      <c r="K2361" s="158"/>
      <c r="L2361" s="155"/>
      <c r="M2361" s="156"/>
      <c r="N2361" s="250"/>
      <c r="O2361" s="157"/>
      <c r="P2361" s="248"/>
      <c r="Q2361" s="158"/>
      <c r="R2361" s="255"/>
      <c r="S2361" s="159"/>
      <c r="T2361" s="225"/>
      <c r="U2361" s="170"/>
      <c r="W2361" s="253"/>
    </row>
    <row r="2362" spans="1:23" hidden="1" outlineLevel="2">
      <c r="A2362" s="162"/>
      <c r="B2362" s="163"/>
      <c r="C2362" s="236" t="s">
        <v>895</v>
      </c>
      <c r="D2362" s="361"/>
      <c r="E2362" s="164"/>
      <c r="F2362" s="165"/>
      <c r="G2362" s="197"/>
      <c r="H2362" s="157"/>
      <c r="I2362" s="157"/>
      <c r="J2362" s="157"/>
      <c r="K2362" s="158"/>
      <c r="L2362" s="155"/>
      <c r="M2362" s="156"/>
      <c r="N2362" s="250"/>
      <c r="O2362" s="157"/>
      <c r="P2362" s="248"/>
      <c r="Q2362" s="158"/>
      <c r="R2362" s="255"/>
      <c r="S2362" s="159"/>
      <c r="T2362" s="225"/>
      <c r="U2362" s="170"/>
      <c r="W2362" s="253"/>
    </row>
    <row r="2363" spans="1:23" hidden="1" outlineLevel="2">
      <c r="A2363" s="162"/>
      <c r="B2363" s="163"/>
      <c r="C2363" s="236" t="s">
        <v>896</v>
      </c>
      <c r="D2363" s="361"/>
      <c r="E2363" s="164"/>
      <c r="F2363" s="165"/>
      <c r="G2363" s="197"/>
      <c r="H2363" s="157"/>
      <c r="I2363" s="157"/>
      <c r="J2363" s="157"/>
      <c r="K2363" s="158"/>
      <c r="L2363" s="155"/>
      <c r="M2363" s="156"/>
      <c r="N2363" s="250"/>
      <c r="O2363" s="157"/>
      <c r="P2363" s="248"/>
      <c r="Q2363" s="158"/>
      <c r="R2363" s="255"/>
      <c r="S2363" s="159"/>
      <c r="T2363" s="225"/>
      <c r="U2363" s="170"/>
      <c r="W2363" s="253"/>
    </row>
    <row r="2364" spans="1:23" hidden="1" outlineLevel="2">
      <c r="A2364" s="162"/>
      <c r="B2364" s="163"/>
      <c r="C2364" s="236" t="s">
        <v>897</v>
      </c>
      <c r="D2364" s="361"/>
      <c r="E2364" s="164"/>
      <c r="F2364" s="165"/>
      <c r="G2364" s="197"/>
      <c r="H2364" s="157"/>
      <c r="I2364" s="157"/>
      <c r="J2364" s="157"/>
      <c r="K2364" s="158"/>
      <c r="L2364" s="155"/>
      <c r="M2364" s="156"/>
      <c r="N2364" s="250"/>
      <c r="O2364" s="157"/>
      <c r="P2364" s="248"/>
      <c r="Q2364" s="158"/>
      <c r="R2364" s="255"/>
      <c r="S2364" s="159"/>
      <c r="T2364" s="225"/>
      <c r="U2364" s="170"/>
      <c r="W2364" s="253"/>
    </row>
    <row r="2365" spans="1:23" hidden="1" outlineLevel="2">
      <c r="A2365" s="162"/>
      <c r="B2365" s="163"/>
      <c r="C2365" s="236" t="s">
        <v>898</v>
      </c>
      <c r="D2365" s="361"/>
      <c r="E2365" s="164"/>
      <c r="F2365" s="165"/>
      <c r="G2365" s="197"/>
      <c r="H2365" s="157"/>
      <c r="I2365" s="157"/>
      <c r="J2365" s="157"/>
      <c r="K2365" s="158"/>
      <c r="L2365" s="155"/>
      <c r="M2365" s="156"/>
      <c r="N2365" s="250"/>
      <c r="O2365" s="157"/>
      <c r="P2365" s="248"/>
      <c r="Q2365" s="158"/>
      <c r="R2365" s="255"/>
      <c r="S2365" s="159"/>
      <c r="T2365" s="225"/>
      <c r="U2365" s="170"/>
      <c r="W2365" s="253"/>
    </row>
    <row r="2366" spans="1:23" hidden="1" outlineLevel="2">
      <c r="A2366" s="162"/>
      <c r="B2366" s="163"/>
      <c r="C2366" s="236" t="s">
        <v>379</v>
      </c>
      <c r="D2366" s="361"/>
      <c r="E2366" s="164"/>
      <c r="F2366" s="165"/>
      <c r="G2366" s="197"/>
      <c r="H2366" s="157"/>
      <c r="I2366" s="157"/>
      <c r="J2366" s="157"/>
      <c r="K2366" s="158"/>
      <c r="L2366" s="155"/>
      <c r="M2366" s="156"/>
      <c r="N2366" s="250"/>
      <c r="O2366" s="157"/>
      <c r="P2366" s="248"/>
      <c r="Q2366" s="158"/>
      <c r="R2366" s="255"/>
      <c r="S2366" s="159"/>
      <c r="T2366" s="225"/>
      <c r="U2366" s="170"/>
      <c r="W2366" s="253"/>
    </row>
    <row r="2367" spans="1:23" hidden="1" outlineLevel="1" collapsed="1">
      <c r="A2367" s="162"/>
      <c r="B2367" s="163"/>
      <c r="C2367" s="151" t="s">
        <v>578</v>
      </c>
      <c r="D2367" s="339"/>
      <c r="E2367" s="164"/>
      <c r="F2367" s="165"/>
      <c r="G2367" s="197"/>
      <c r="H2367" s="157"/>
      <c r="I2367" s="157"/>
      <c r="J2367" s="157"/>
      <c r="K2367" s="158"/>
      <c r="L2367" s="155"/>
      <c r="M2367" s="156"/>
      <c r="N2367" s="250"/>
      <c r="O2367" s="157"/>
      <c r="P2367" s="248"/>
      <c r="Q2367" s="158"/>
      <c r="R2367" s="255"/>
      <c r="S2367" s="159"/>
      <c r="T2367" s="225"/>
      <c r="U2367" s="170"/>
      <c r="W2367" s="310"/>
    </row>
    <row r="2368" spans="1:23" s="233" customFormat="1" hidden="1" outlineLevel="2">
      <c r="A2368" s="312"/>
      <c r="B2368" s="151" t="s">
        <v>533</v>
      </c>
      <c r="C2368" s="171"/>
      <c r="D2368" s="343"/>
      <c r="E2368" s="157"/>
      <c r="F2368" s="158"/>
      <c r="G2368" s="197"/>
      <c r="H2368" s="157"/>
      <c r="I2368" s="157"/>
      <c r="J2368" s="157"/>
      <c r="K2368" s="158"/>
      <c r="L2368" s="155"/>
      <c r="M2368" s="156"/>
      <c r="N2368" s="250"/>
      <c r="O2368" s="157"/>
      <c r="P2368" s="248"/>
      <c r="Q2368" s="158"/>
      <c r="R2368" s="255"/>
      <c r="S2368" s="159"/>
      <c r="T2368" s="225"/>
      <c r="U2368" s="161"/>
    </row>
    <row r="2369" spans="1:23" hidden="1" outlineLevel="2">
      <c r="A2369" s="162"/>
      <c r="B2369" s="163"/>
      <c r="C2369" s="236" t="s">
        <v>891</v>
      </c>
      <c r="D2369" s="361"/>
      <c r="E2369" s="164"/>
      <c r="F2369" s="165"/>
      <c r="G2369" s="197"/>
      <c r="H2369" s="157"/>
      <c r="I2369" s="157"/>
      <c r="J2369" s="157"/>
      <c r="K2369" s="158"/>
      <c r="L2369" s="155"/>
      <c r="M2369" s="156"/>
      <c r="N2369" s="250"/>
      <c r="O2369" s="157"/>
      <c r="P2369" s="248"/>
      <c r="Q2369" s="158"/>
      <c r="R2369" s="255"/>
      <c r="S2369" s="159"/>
      <c r="T2369" s="225"/>
      <c r="U2369" s="170"/>
      <c r="W2369" s="253"/>
    </row>
    <row r="2370" spans="1:23" hidden="1" outlineLevel="2">
      <c r="A2370" s="162"/>
      <c r="B2370" s="163"/>
      <c r="C2370" s="236" t="s">
        <v>893</v>
      </c>
      <c r="D2370" s="361"/>
      <c r="E2370" s="164"/>
      <c r="F2370" s="165"/>
      <c r="G2370" s="197"/>
      <c r="H2370" s="157"/>
      <c r="I2370" s="157"/>
      <c r="J2370" s="157"/>
      <c r="K2370" s="158"/>
      <c r="L2370" s="155"/>
      <c r="M2370" s="156"/>
      <c r="N2370" s="250"/>
      <c r="O2370" s="157"/>
      <c r="P2370" s="248"/>
      <c r="Q2370" s="158"/>
      <c r="R2370" s="255"/>
      <c r="S2370" s="159"/>
      <c r="T2370" s="225"/>
      <c r="U2370" s="170"/>
      <c r="W2370" s="253"/>
    </row>
    <row r="2371" spans="1:23" hidden="1" outlineLevel="2">
      <c r="A2371" s="162"/>
      <c r="B2371" s="163"/>
      <c r="C2371" s="236" t="s">
        <v>894</v>
      </c>
      <c r="D2371" s="361"/>
      <c r="E2371" s="164"/>
      <c r="F2371" s="165"/>
      <c r="G2371" s="197"/>
      <c r="H2371" s="157"/>
      <c r="I2371" s="157"/>
      <c r="J2371" s="157"/>
      <c r="K2371" s="158"/>
      <c r="L2371" s="155"/>
      <c r="M2371" s="156"/>
      <c r="N2371" s="250"/>
      <c r="O2371" s="157"/>
      <c r="P2371" s="248"/>
      <c r="Q2371" s="158"/>
      <c r="R2371" s="255"/>
      <c r="S2371" s="159"/>
      <c r="T2371" s="225"/>
      <c r="U2371" s="170"/>
      <c r="W2371" s="253"/>
    </row>
    <row r="2372" spans="1:23" hidden="1" outlineLevel="2">
      <c r="A2372" s="162"/>
      <c r="B2372" s="163"/>
      <c r="C2372" s="236" t="s">
        <v>895</v>
      </c>
      <c r="D2372" s="361"/>
      <c r="E2372" s="164"/>
      <c r="F2372" s="165"/>
      <c r="G2372" s="197"/>
      <c r="H2372" s="157"/>
      <c r="I2372" s="157"/>
      <c r="J2372" s="157"/>
      <c r="K2372" s="158"/>
      <c r="L2372" s="155"/>
      <c r="M2372" s="156"/>
      <c r="N2372" s="250"/>
      <c r="O2372" s="157"/>
      <c r="P2372" s="248"/>
      <c r="Q2372" s="158"/>
      <c r="R2372" s="255"/>
      <c r="S2372" s="159"/>
      <c r="T2372" s="225"/>
      <c r="U2372" s="170"/>
      <c r="W2372" s="253"/>
    </row>
    <row r="2373" spans="1:23" hidden="1" outlineLevel="2">
      <c r="A2373" s="162"/>
      <c r="B2373" s="163"/>
      <c r="C2373" s="236" t="s">
        <v>896</v>
      </c>
      <c r="D2373" s="361"/>
      <c r="E2373" s="164"/>
      <c r="F2373" s="165"/>
      <c r="G2373" s="197"/>
      <c r="H2373" s="157"/>
      <c r="I2373" s="157"/>
      <c r="J2373" s="157"/>
      <c r="K2373" s="158"/>
      <c r="L2373" s="155"/>
      <c r="M2373" s="156"/>
      <c r="N2373" s="250"/>
      <c r="O2373" s="157"/>
      <c r="P2373" s="248"/>
      <c r="Q2373" s="158"/>
      <c r="R2373" s="255"/>
      <c r="S2373" s="159"/>
      <c r="T2373" s="225"/>
      <c r="U2373" s="170"/>
      <c r="W2373" s="253"/>
    </row>
    <row r="2374" spans="1:23" hidden="1" outlineLevel="2">
      <c r="A2374" s="162"/>
      <c r="B2374" s="163"/>
      <c r="C2374" s="236" t="s">
        <v>897</v>
      </c>
      <c r="D2374" s="361"/>
      <c r="E2374" s="164"/>
      <c r="F2374" s="165"/>
      <c r="G2374" s="197"/>
      <c r="H2374" s="157"/>
      <c r="I2374" s="157"/>
      <c r="J2374" s="157"/>
      <c r="K2374" s="158"/>
      <c r="L2374" s="155"/>
      <c r="M2374" s="156"/>
      <c r="N2374" s="250"/>
      <c r="O2374" s="157"/>
      <c r="P2374" s="248"/>
      <c r="Q2374" s="158"/>
      <c r="R2374" s="255"/>
      <c r="S2374" s="159"/>
      <c r="T2374" s="225"/>
      <c r="U2374" s="170"/>
      <c r="W2374" s="253"/>
    </row>
    <row r="2375" spans="1:23" hidden="1" outlineLevel="2">
      <c r="A2375" s="162"/>
      <c r="B2375" s="163"/>
      <c r="C2375" s="236" t="s">
        <v>898</v>
      </c>
      <c r="D2375" s="361"/>
      <c r="E2375" s="164"/>
      <c r="F2375" s="165"/>
      <c r="G2375" s="197"/>
      <c r="H2375" s="157"/>
      <c r="I2375" s="157"/>
      <c r="J2375" s="157"/>
      <c r="K2375" s="158"/>
      <c r="L2375" s="155"/>
      <c r="M2375" s="156"/>
      <c r="N2375" s="250"/>
      <c r="O2375" s="157"/>
      <c r="P2375" s="248"/>
      <c r="Q2375" s="158"/>
      <c r="R2375" s="255"/>
      <c r="S2375" s="159"/>
      <c r="T2375" s="225"/>
      <c r="U2375" s="170"/>
      <c r="W2375" s="253"/>
    </row>
    <row r="2376" spans="1:23" hidden="1" outlineLevel="2">
      <c r="A2376" s="162"/>
      <c r="B2376" s="163"/>
      <c r="C2376" s="236" t="s">
        <v>379</v>
      </c>
      <c r="D2376" s="361"/>
      <c r="E2376" s="164"/>
      <c r="F2376" s="165"/>
      <c r="G2376" s="197"/>
      <c r="H2376" s="157"/>
      <c r="I2376" s="157"/>
      <c r="J2376" s="157"/>
      <c r="K2376" s="158"/>
      <c r="L2376" s="155"/>
      <c r="M2376" s="156"/>
      <c r="N2376" s="250"/>
      <c r="O2376" s="157"/>
      <c r="P2376" s="248"/>
      <c r="Q2376" s="158"/>
      <c r="R2376" s="255"/>
      <c r="S2376" s="159"/>
      <c r="T2376" s="225"/>
      <c r="U2376" s="170"/>
      <c r="W2376" s="253"/>
    </row>
    <row r="2377" spans="1:23" hidden="1" outlineLevel="1" collapsed="1">
      <c r="A2377" s="162"/>
      <c r="B2377" s="163"/>
      <c r="C2377" s="151" t="s">
        <v>1089</v>
      </c>
      <c r="D2377" s="339"/>
      <c r="E2377" s="164"/>
      <c r="F2377" s="165"/>
      <c r="G2377" s="197"/>
      <c r="H2377" s="157"/>
      <c r="I2377" s="157"/>
      <c r="J2377" s="157"/>
      <c r="K2377" s="158"/>
      <c r="L2377" s="155"/>
      <c r="M2377" s="156"/>
      <c r="N2377" s="250"/>
      <c r="O2377" s="157"/>
      <c r="P2377" s="248"/>
      <c r="Q2377" s="158"/>
      <c r="R2377" s="255"/>
      <c r="S2377" s="159"/>
      <c r="T2377" s="225"/>
      <c r="U2377" s="170"/>
      <c r="W2377" s="310"/>
    </row>
    <row r="2378" spans="1:23" s="233" customFormat="1" hidden="1" outlineLevel="2">
      <c r="A2378" s="312"/>
      <c r="B2378" s="151" t="s">
        <v>570</v>
      </c>
      <c r="C2378" s="171"/>
      <c r="D2378" s="343"/>
      <c r="E2378" s="157"/>
      <c r="F2378" s="158"/>
      <c r="G2378" s="197"/>
      <c r="H2378" s="157"/>
      <c r="I2378" s="157"/>
      <c r="J2378" s="157"/>
      <c r="K2378" s="158"/>
      <c r="L2378" s="155"/>
      <c r="M2378" s="156"/>
      <c r="N2378" s="250"/>
      <c r="O2378" s="157"/>
      <c r="P2378" s="248"/>
      <c r="Q2378" s="158"/>
      <c r="R2378" s="255"/>
      <c r="S2378" s="159"/>
      <c r="T2378" s="225"/>
      <c r="U2378" s="161"/>
    </row>
    <row r="2379" spans="1:23" hidden="1" outlineLevel="2">
      <c r="A2379" s="162"/>
      <c r="B2379" s="163"/>
      <c r="C2379" s="236" t="s">
        <v>891</v>
      </c>
      <c r="D2379" s="361"/>
      <c r="E2379" s="164"/>
      <c r="F2379" s="165"/>
      <c r="G2379" s="197"/>
      <c r="H2379" s="157"/>
      <c r="I2379" s="157"/>
      <c r="J2379" s="157"/>
      <c r="K2379" s="158"/>
      <c r="L2379" s="155"/>
      <c r="M2379" s="156"/>
      <c r="N2379" s="250"/>
      <c r="O2379" s="157"/>
      <c r="P2379" s="248"/>
      <c r="Q2379" s="158"/>
      <c r="R2379" s="255"/>
      <c r="S2379" s="159"/>
      <c r="T2379" s="225"/>
      <c r="U2379" s="170"/>
      <c r="W2379" s="253"/>
    </row>
    <row r="2380" spans="1:23" hidden="1" outlineLevel="2">
      <c r="A2380" s="162"/>
      <c r="B2380" s="163"/>
      <c r="C2380" s="236" t="s">
        <v>893</v>
      </c>
      <c r="D2380" s="361"/>
      <c r="E2380" s="164"/>
      <c r="F2380" s="165"/>
      <c r="G2380" s="197"/>
      <c r="H2380" s="157"/>
      <c r="I2380" s="157"/>
      <c r="J2380" s="157"/>
      <c r="K2380" s="158"/>
      <c r="L2380" s="155"/>
      <c r="M2380" s="156"/>
      <c r="N2380" s="250"/>
      <c r="O2380" s="157"/>
      <c r="P2380" s="248"/>
      <c r="Q2380" s="158"/>
      <c r="R2380" s="255"/>
      <c r="S2380" s="159"/>
      <c r="T2380" s="225"/>
      <c r="U2380" s="170"/>
      <c r="W2380" s="253"/>
    </row>
    <row r="2381" spans="1:23" hidden="1" outlineLevel="2">
      <c r="A2381" s="162"/>
      <c r="B2381" s="163"/>
      <c r="C2381" s="236" t="s">
        <v>894</v>
      </c>
      <c r="D2381" s="361"/>
      <c r="E2381" s="164"/>
      <c r="F2381" s="165"/>
      <c r="G2381" s="197"/>
      <c r="H2381" s="157"/>
      <c r="I2381" s="157"/>
      <c r="J2381" s="157"/>
      <c r="K2381" s="158"/>
      <c r="L2381" s="155"/>
      <c r="M2381" s="156"/>
      <c r="N2381" s="250"/>
      <c r="O2381" s="157"/>
      <c r="P2381" s="248"/>
      <c r="Q2381" s="158"/>
      <c r="R2381" s="255"/>
      <c r="S2381" s="159"/>
      <c r="T2381" s="225"/>
      <c r="U2381" s="170"/>
      <c r="W2381" s="253"/>
    </row>
    <row r="2382" spans="1:23" hidden="1" outlineLevel="2">
      <c r="A2382" s="162"/>
      <c r="B2382" s="163"/>
      <c r="C2382" s="236" t="s">
        <v>895</v>
      </c>
      <c r="D2382" s="361"/>
      <c r="E2382" s="164"/>
      <c r="F2382" s="165"/>
      <c r="G2382" s="197"/>
      <c r="H2382" s="157"/>
      <c r="I2382" s="157"/>
      <c r="J2382" s="157"/>
      <c r="K2382" s="158"/>
      <c r="L2382" s="155"/>
      <c r="M2382" s="156"/>
      <c r="N2382" s="250"/>
      <c r="O2382" s="157"/>
      <c r="P2382" s="248"/>
      <c r="Q2382" s="158"/>
      <c r="R2382" s="255"/>
      <c r="S2382" s="159"/>
      <c r="T2382" s="225"/>
      <c r="U2382" s="170"/>
      <c r="W2382" s="253"/>
    </row>
    <row r="2383" spans="1:23" hidden="1" outlineLevel="2">
      <c r="A2383" s="162"/>
      <c r="B2383" s="163"/>
      <c r="C2383" s="236" t="s">
        <v>896</v>
      </c>
      <c r="D2383" s="361"/>
      <c r="E2383" s="164"/>
      <c r="F2383" s="165"/>
      <c r="G2383" s="197"/>
      <c r="H2383" s="157"/>
      <c r="I2383" s="157"/>
      <c r="J2383" s="157"/>
      <c r="K2383" s="158"/>
      <c r="L2383" s="155"/>
      <c r="M2383" s="156"/>
      <c r="N2383" s="250"/>
      <c r="O2383" s="157"/>
      <c r="P2383" s="248"/>
      <c r="Q2383" s="158"/>
      <c r="R2383" s="255"/>
      <c r="S2383" s="159"/>
      <c r="T2383" s="225"/>
      <c r="U2383" s="170"/>
      <c r="W2383" s="253"/>
    </row>
    <row r="2384" spans="1:23" hidden="1" outlineLevel="2">
      <c r="A2384" s="162"/>
      <c r="B2384" s="163"/>
      <c r="C2384" s="236" t="s">
        <v>897</v>
      </c>
      <c r="D2384" s="361"/>
      <c r="E2384" s="164"/>
      <c r="F2384" s="165"/>
      <c r="G2384" s="197"/>
      <c r="H2384" s="157"/>
      <c r="I2384" s="157"/>
      <c r="J2384" s="157"/>
      <c r="K2384" s="158"/>
      <c r="L2384" s="155"/>
      <c r="M2384" s="156"/>
      <c r="N2384" s="250"/>
      <c r="O2384" s="157"/>
      <c r="P2384" s="248"/>
      <c r="Q2384" s="158"/>
      <c r="R2384" s="255"/>
      <c r="S2384" s="159"/>
      <c r="T2384" s="225"/>
      <c r="U2384" s="170"/>
      <c r="W2384" s="253"/>
    </row>
    <row r="2385" spans="1:23" hidden="1" outlineLevel="2">
      <c r="A2385" s="162"/>
      <c r="B2385" s="163"/>
      <c r="C2385" s="236" t="s">
        <v>898</v>
      </c>
      <c r="D2385" s="361"/>
      <c r="E2385" s="164"/>
      <c r="F2385" s="165"/>
      <c r="G2385" s="197"/>
      <c r="H2385" s="157"/>
      <c r="I2385" s="157"/>
      <c r="J2385" s="157"/>
      <c r="K2385" s="158"/>
      <c r="L2385" s="155"/>
      <c r="M2385" s="156"/>
      <c r="N2385" s="250"/>
      <c r="O2385" s="157"/>
      <c r="P2385" s="248"/>
      <c r="Q2385" s="158"/>
      <c r="R2385" s="255"/>
      <c r="S2385" s="159"/>
      <c r="T2385" s="225"/>
      <c r="U2385" s="170"/>
      <c r="W2385" s="253"/>
    </row>
    <row r="2386" spans="1:23" hidden="1" outlineLevel="2">
      <c r="A2386" s="162"/>
      <c r="B2386" s="163"/>
      <c r="C2386" s="236" t="s">
        <v>379</v>
      </c>
      <c r="D2386" s="361"/>
      <c r="E2386" s="164"/>
      <c r="F2386" s="165"/>
      <c r="G2386" s="197"/>
      <c r="H2386" s="157"/>
      <c r="I2386" s="157"/>
      <c r="J2386" s="157"/>
      <c r="K2386" s="158"/>
      <c r="L2386" s="155"/>
      <c r="M2386" s="156"/>
      <c r="N2386" s="250"/>
      <c r="O2386" s="157"/>
      <c r="P2386" s="248"/>
      <c r="Q2386" s="158"/>
      <c r="R2386" s="255"/>
      <c r="S2386" s="159"/>
      <c r="T2386" s="225"/>
      <c r="U2386" s="170"/>
      <c r="W2386" s="253"/>
    </row>
    <row r="2387" spans="1:23" hidden="1" outlineLevel="1" collapsed="1">
      <c r="A2387" s="162"/>
      <c r="B2387" s="163"/>
      <c r="C2387" s="151" t="s">
        <v>570</v>
      </c>
      <c r="D2387" s="339"/>
      <c r="E2387" s="164"/>
      <c r="F2387" s="165"/>
      <c r="G2387" s="197"/>
      <c r="H2387" s="157"/>
      <c r="I2387" s="157"/>
      <c r="J2387" s="157"/>
      <c r="K2387" s="158"/>
      <c r="L2387" s="155"/>
      <c r="M2387" s="156"/>
      <c r="N2387" s="250"/>
      <c r="O2387" s="157"/>
      <c r="P2387" s="248"/>
      <c r="Q2387" s="158"/>
      <c r="R2387" s="255"/>
      <c r="S2387" s="159"/>
      <c r="T2387" s="225"/>
      <c r="U2387" s="170"/>
      <c r="W2387" s="310"/>
    </row>
    <row r="2388" spans="1:23" s="233" customFormat="1" hidden="1" outlineLevel="2">
      <c r="A2388" s="312"/>
      <c r="B2388" s="151" t="s">
        <v>519</v>
      </c>
      <c r="C2388" s="171"/>
      <c r="D2388" s="343"/>
      <c r="E2388" s="157"/>
      <c r="F2388" s="158"/>
      <c r="G2388" s="197"/>
      <c r="H2388" s="157"/>
      <c r="I2388" s="157"/>
      <c r="J2388" s="157"/>
      <c r="K2388" s="158"/>
      <c r="L2388" s="155"/>
      <c r="M2388" s="156"/>
      <c r="N2388" s="250"/>
      <c r="O2388" s="157"/>
      <c r="P2388" s="248"/>
      <c r="Q2388" s="158"/>
      <c r="R2388" s="255"/>
      <c r="S2388" s="159"/>
      <c r="T2388" s="225"/>
      <c r="U2388" s="161"/>
    </row>
    <row r="2389" spans="1:23" hidden="1" outlineLevel="2">
      <c r="A2389" s="162"/>
      <c r="B2389" s="163"/>
      <c r="C2389" s="236" t="s">
        <v>891</v>
      </c>
      <c r="D2389" s="361"/>
      <c r="E2389" s="164"/>
      <c r="F2389" s="165"/>
      <c r="G2389" s="197"/>
      <c r="H2389" s="157"/>
      <c r="I2389" s="157"/>
      <c r="J2389" s="157"/>
      <c r="K2389" s="158"/>
      <c r="L2389" s="155"/>
      <c r="M2389" s="156"/>
      <c r="N2389" s="250"/>
      <c r="O2389" s="157"/>
      <c r="P2389" s="248"/>
      <c r="Q2389" s="158"/>
      <c r="R2389" s="255"/>
      <c r="S2389" s="159"/>
      <c r="T2389" s="225"/>
      <c r="U2389" s="170"/>
      <c r="W2389" s="253"/>
    </row>
    <row r="2390" spans="1:23" hidden="1" outlineLevel="2">
      <c r="A2390" s="162"/>
      <c r="B2390" s="163"/>
      <c r="C2390" s="236" t="s">
        <v>893</v>
      </c>
      <c r="D2390" s="361"/>
      <c r="E2390" s="164"/>
      <c r="F2390" s="165"/>
      <c r="G2390" s="197"/>
      <c r="H2390" s="157"/>
      <c r="I2390" s="157"/>
      <c r="J2390" s="157"/>
      <c r="K2390" s="158"/>
      <c r="L2390" s="155"/>
      <c r="M2390" s="156"/>
      <c r="N2390" s="250"/>
      <c r="O2390" s="157"/>
      <c r="P2390" s="248"/>
      <c r="Q2390" s="158"/>
      <c r="R2390" s="255"/>
      <c r="S2390" s="159"/>
      <c r="T2390" s="225"/>
      <c r="U2390" s="170"/>
      <c r="W2390" s="253"/>
    </row>
    <row r="2391" spans="1:23" hidden="1" outlineLevel="2">
      <c r="A2391" s="162"/>
      <c r="B2391" s="163"/>
      <c r="C2391" s="236" t="s">
        <v>894</v>
      </c>
      <c r="D2391" s="361"/>
      <c r="E2391" s="164"/>
      <c r="F2391" s="165"/>
      <c r="G2391" s="197"/>
      <c r="H2391" s="157"/>
      <c r="I2391" s="157"/>
      <c r="J2391" s="157"/>
      <c r="K2391" s="158"/>
      <c r="L2391" s="155"/>
      <c r="M2391" s="156"/>
      <c r="N2391" s="250"/>
      <c r="O2391" s="157"/>
      <c r="P2391" s="248"/>
      <c r="Q2391" s="158"/>
      <c r="R2391" s="255"/>
      <c r="S2391" s="159"/>
      <c r="T2391" s="225"/>
      <c r="U2391" s="170"/>
      <c r="W2391" s="253"/>
    </row>
    <row r="2392" spans="1:23" hidden="1" outlineLevel="2">
      <c r="A2392" s="162"/>
      <c r="B2392" s="163"/>
      <c r="C2392" s="236" t="s">
        <v>895</v>
      </c>
      <c r="D2392" s="361"/>
      <c r="E2392" s="164"/>
      <c r="F2392" s="165"/>
      <c r="G2392" s="197"/>
      <c r="H2392" s="157"/>
      <c r="I2392" s="157"/>
      <c r="J2392" s="157"/>
      <c r="K2392" s="158"/>
      <c r="L2392" s="155"/>
      <c r="M2392" s="156"/>
      <c r="N2392" s="250"/>
      <c r="O2392" s="157"/>
      <c r="P2392" s="248"/>
      <c r="Q2392" s="158"/>
      <c r="R2392" s="255"/>
      <c r="S2392" s="159"/>
      <c r="T2392" s="225"/>
      <c r="U2392" s="170"/>
      <c r="W2392" s="253"/>
    </row>
    <row r="2393" spans="1:23" hidden="1" outlineLevel="2">
      <c r="A2393" s="162"/>
      <c r="B2393" s="163"/>
      <c r="C2393" s="236" t="s">
        <v>896</v>
      </c>
      <c r="D2393" s="361"/>
      <c r="E2393" s="164"/>
      <c r="F2393" s="165"/>
      <c r="G2393" s="197"/>
      <c r="H2393" s="157"/>
      <c r="I2393" s="157"/>
      <c r="J2393" s="157"/>
      <c r="K2393" s="158"/>
      <c r="L2393" s="155"/>
      <c r="M2393" s="156"/>
      <c r="N2393" s="250"/>
      <c r="O2393" s="157"/>
      <c r="P2393" s="248"/>
      <c r="Q2393" s="158"/>
      <c r="R2393" s="255"/>
      <c r="S2393" s="159"/>
      <c r="T2393" s="225"/>
      <c r="U2393" s="170"/>
      <c r="W2393" s="253"/>
    </row>
    <row r="2394" spans="1:23" hidden="1" outlineLevel="2">
      <c r="A2394" s="162"/>
      <c r="B2394" s="163"/>
      <c r="C2394" s="236" t="s">
        <v>897</v>
      </c>
      <c r="D2394" s="361"/>
      <c r="E2394" s="164"/>
      <c r="F2394" s="165"/>
      <c r="G2394" s="197"/>
      <c r="H2394" s="157"/>
      <c r="I2394" s="157"/>
      <c r="J2394" s="157"/>
      <c r="K2394" s="158"/>
      <c r="L2394" s="155"/>
      <c r="M2394" s="156"/>
      <c r="N2394" s="250"/>
      <c r="O2394" s="157"/>
      <c r="P2394" s="248"/>
      <c r="Q2394" s="158"/>
      <c r="R2394" s="255"/>
      <c r="S2394" s="159"/>
      <c r="T2394" s="225"/>
      <c r="U2394" s="170"/>
      <c r="W2394" s="253"/>
    </row>
    <row r="2395" spans="1:23" hidden="1" outlineLevel="2">
      <c r="A2395" s="162"/>
      <c r="B2395" s="163"/>
      <c r="C2395" s="236" t="s">
        <v>898</v>
      </c>
      <c r="D2395" s="361"/>
      <c r="E2395" s="164"/>
      <c r="F2395" s="165"/>
      <c r="G2395" s="197"/>
      <c r="H2395" s="157"/>
      <c r="I2395" s="157"/>
      <c r="J2395" s="157"/>
      <c r="K2395" s="158"/>
      <c r="L2395" s="155"/>
      <c r="M2395" s="156"/>
      <c r="N2395" s="250"/>
      <c r="O2395" s="157"/>
      <c r="P2395" s="248"/>
      <c r="Q2395" s="158"/>
      <c r="R2395" s="255"/>
      <c r="S2395" s="159"/>
      <c r="T2395" s="225"/>
      <c r="U2395" s="170"/>
      <c r="W2395" s="253"/>
    </row>
    <row r="2396" spans="1:23" hidden="1" outlineLevel="2">
      <c r="A2396" s="162"/>
      <c r="B2396" s="163"/>
      <c r="C2396" s="236" t="s">
        <v>379</v>
      </c>
      <c r="D2396" s="361"/>
      <c r="E2396" s="164"/>
      <c r="F2396" s="165"/>
      <c r="G2396" s="197"/>
      <c r="H2396" s="157"/>
      <c r="I2396" s="157"/>
      <c r="J2396" s="157"/>
      <c r="K2396" s="158"/>
      <c r="L2396" s="155"/>
      <c r="M2396" s="156"/>
      <c r="N2396" s="250"/>
      <c r="O2396" s="157"/>
      <c r="P2396" s="248"/>
      <c r="Q2396" s="158"/>
      <c r="R2396" s="255"/>
      <c r="S2396" s="159"/>
      <c r="T2396" s="225"/>
      <c r="U2396" s="170"/>
      <c r="W2396" s="253"/>
    </row>
    <row r="2397" spans="1:23" hidden="1" outlineLevel="1" collapsed="1">
      <c r="A2397" s="162"/>
      <c r="B2397" s="163"/>
      <c r="C2397" s="151" t="s">
        <v>519</v>
      </c>
      <c r="D2397" s="339"/>
      <c r="E2397" s="164"/>
      <c r="F2397" s="165"/>
      <c r="G2397" s="197"/>
      <c r="H2397" s="157"/>
      <c r="I2397" s="157"/>
      <c r="J2397" s="157"/>
      <c r="K2397" s="158"/>
      <c r="L2397" s="155"/>
      <c r="M2397" s="156"/>
      <c r="N2397" s="250"/>
      <c r="O2397" s="157"/>
      <c r="P2397" s="248"/>
      <c r="Q2397" s="158"/>
      <c r="R2397" s="255"/>
      <c r="S2397" s="159"/>
      <c r="T2397" s="225"/>
      <c r="U2397" s="170"/>
      <c r="W2397" s="310"/>
    </row>
    <row r="2398" spans="1:23" s="233" customFormat="1" hidden="1" outlineLevel="2">
      <c r="A2398" s="312"/>
      <c r="B2398" s="151" t="s">
        <v>541</v>
      </c>
      <c r="C2398" s="171"/>
      <c r="D2398" s="343"/>
      <c r="E2398" s="157"/>
      <c r="F2398" s="158"/>
      <c r="G2398" s="197"/>
      <c r="H2398" s="157"/>
      <c r="I2398" s="157"/>
      <c r="J2398" s="157"/>
      <c r="K2398" s="158"/>
      <c r="L2398" s="155"/>
      <c r="M2398" s="156"/>
      <c r="N2398" s="250"/>
      <c r="O2398" s="157"/>
      <c r="P2398" s="248"/>
      <c r="Q2398" s="158"/>
      <c r="R2398" s="255"/>
      <c r="S2398" s="159"/>
      <c r="T2398" s="225"/>
      <c r="U2398" s="161"/>
    </row>
    <row r="2399" spans="1:23" hidden="1" outlineLevel="2">
      <c r="A2399" s="162"/>
      <c r="B2399" s="163"/>
      <c r="C2399" s="236" t="s">
        <v>891</v>
      </c>
      <c r="D2399" s="361"/>
      <c r="E2399" s="164"/>
      <c r="F2399" s="165"/>
      <c r="G2399" s="197"/>
      <c r="H2399" s="157"/>
      <c r="I2399" s="157"/>
      <c r="J2399" s="157"/>
      <c r="K2399" s="158"/>
      <c r="L2399" s="155"/>
      <c r="M2399" s="156"/>
      <c r="N2399" s="250"/>
      <c r="O2399" s="157"/>
      <c r="P2399" s="248"/>
      <c r="Q2399" s="158"/>
      <c r="R2399" s="255"/>
      <c r="S2399" s="159"/>
      <c r="T2399" s="225"/>
      <c r="U2399" s="170"/>
      <c r="W2399" s="253"/>
    </row>
    <row r="2400" spans="1:23" hidden="1" outlineLevel="2">
      <c r="A2400" s="162"/>
      <c r="B2400" s="163"/>
      <c r="C2400" s="236" t="s">
        <v>893</v>
      </c>
      <c r="D2400" s="361"/>
      <c r="E2400" s="164"/>
      <c r="F2400" s="165"/>
      <c r="G2400" s="197"/>
      <c r="H2400" s="157"/>
      <c r="I2400" s="157"/>
      <c r="J2400" s="157"/>
      <c r="K2400" s="158"/>
      <c r="L2400" s="155"/>
      <c r="M2400" s="156"/>
      <c r="N2400" s="250"/>
      <c r="O2400" s="157"/>
      <c r="P2400" s="248"/>
      <c r="Q2400" s="158"/>
      <c r="R2400" s="255"/>
      <c r="S2400" s="159"/>
      <c r="T2400" s="225"/>
      <c r="U2400" s="170"/>
      <c r="W2400" s="253"/>
    </row>
    <row r="2401" spans="1:23" hidden="1" outlineLevel="2">
      <c r="A2401" s="162"/>
      <c r="B2401" s="163"/>
      <c r="C2401" s="236" t="s">
        <v>894</v>
      </c>
      <c r="D2401" s="361"/>
      <c r="E2401" s="164"/>
      <c r="F2401" s="165"/>
      <c r="G2401" s="197"/>
      <c r="H2401" s="157"/>
      <c r="I2401" s="157"/>
      <c r="J2401" s="157"/>
      <c r="K2401" s="158"/>
      <c r="L2401" s="155"/>
      <c r="M2401" s="156"/>
      <c r="N2401" s="250"/>
      <c r="O2401" s="157"/>
      <c r="P2401" s="248"/>
      <c r="Q2401" s="158"/>
      <c r="R2401" s="255"/>
      <c r="S2401" s="159"/>
      <c r="T2401" s="225"/>
      <c r="U2401" s="170"/>
      <c r="W2401" s="253"/>
    </row>
    <row r="2402" spans="1:23" hidden="1" outlineLevel="2">
      <c r="A2402" s="162"/>
      <c r="B2402" s="163"/>
      <c r="C2402" s="236" t="s">
        <v>895</v>
      </c>
      <c r="D2402" s="361"/>
      <c r="E2402" s="164"/>
      <c r="F2402" s="165"/>
      <c r="G2402" s="197"/>
      <c r="H2402" s="157"/>
      <c r="I2402" s="157"/>
      <c r="J2402" s="157"/>
      <c r="K2402" s="158"/>
      <c r="L2402" s="155"/>
      <c r="M2402" s="156"/>
      <c r="N2402" s="250"/>
      <c r="O2402" s="157"/>
      <c r="P2402" s="248"/>
      <c r="Q2402" s="158"/>
      <c r="R2402" s="255"/>
      <c r="S2402" s="159"/>
      <c r="T2402" s="225"/>
      <c r="U2402" s="170"/>
      <c r="W2402" s="253"/>
    </row>
    <row r="2403" spans="1:23" hidden="1" outlineLevel="2">
      <c r="A2403" s="162"/>
      <c r="B2403" s="163"/>
      <c r="C2403" s="236" t="s">
        <v>896</v>
      </c>
      <c r="D2403" s="361"/>
      <c r="E2403" s="164"/>
      <c r="F2403" s="165"/>
      <c r="G2403" s="197"/>
      <c r="H2403" s="157"/>
      <c r="I2403" s="157"/>
      <c r="J2403" s="157"/>
      <c r="K2403" s="158"/>
      <c r="L2403" s="155"/>
      <c r="M2403" s="156"/>
      <c r="N2403" s="250"/>
      <c r="O2403" s="157"/>
      <c r="P2403" s="248"/>
      <c r="Q2403" s="158"/>
      <c r="R2403" s="255"/>
      <c r="S2403" s="159"/>
      <c r="T2403" s="225"/>
      <c r="U2403" s="170"/>
      <c r="W2403" s="253"/>
    </row>
    <row r="2404" spans="1:23" hidden="1" outlineLevel="2">
      <c r="A2404" s="162"/>
      <c r="B2404" s="163"/>
      <c r="C2404" s="236" t="s">
        <v>897</v>
      </c>
      <c r="D2404" s="361"/>
      <c r="E2404" s="164"/>
      <c r="F2404" s="165"/>
      <c r="G2404" s="197"/>
      <c r="H2404" s="157"/>
      <c r="I2404" s="157"/>
      <c r="J2404" s="157"/>
      <c r="K2404" s="158"/>
      <c r="L2404" s="155"/>
      <c r="M2404" s="156"/>
      <c r="N2404" s="250"/>
      <c r="O2404" s="157"/>
      <c r="P2404" s="248"/>
      <c r="Q2404" s="158"/>
      <c r="R2404" s="255"/>
      <c r="S2404" s="159"/>
      <c r="T2404" s="225"/>
      <c r="U2404" s="170"/>
      <c r="W2404" s="253"/>
    </row>
    <row r="2405" spans="1:23" hidden="1" outlineLevel="2">
      <c r="A2405" s="162"/>
      <c r="B2405" s="163"/>
      <c r="C2405" s="236" t="s">
        <v>898</v>
      </c>
      <c r="D2405" s="361"/>
      <c r="E2405" s="164"/>
      <c r="F2405" s="165"/>
      <c r="G2405" s="197"/>
      <c r="H2405" s="157"/>
      <c r="I2405" s="157"/>
      <c r="J2405" s="157"/>
      <c r="K2405" s="158"/>
      <c r="L2405" s="155"/>
      <c r="M2405" s="156"/>
      <c r="N2405" s="250"/>
      <c r="O2405" s="157"/>
      <c r="P2405" s="248"/>
      <c r="Q2405" s="158"/>
      <c r="R2405" s="255"/>
      <c r="S2405" s="159"/>
      <c r="T2405" s="225"/>
      <c r="U2405" s="170"/>
      <c r="W2405" s="253"/>
    </row>
    <row r="2406" spans="1:23" hidden="1" outlineLevel="2">
      <c r="A2406" s="162"/>
      <c r="B2406" s="163"/>
      <c r="C2406" s="236" t="s">
        <v>379</v>
      </c>
      <c r="D2406" s="361"/>
      <c r="E2406" s="164"/>
      <c r="F2406" s="165"/>
      <c r="G2406" s="197"/>
      <c r="H2406" s="157"/>
      <c r="I2406" s="157"/>
      <c r="J2406" s="157"/>
      <c r="K2406" s="158"/>
      <c r="L2406" s="155"/>
      <c r="M2406" s="156"/>
      <c r="N2406" s="250"/>
      <c r="O2406" s="157"/>
      <c r="P2406" s="248"/>
      <c r="Q2406" s="158"/>
      <c r="R2406" s="255"/>
      <c r="S2406" s="159"/>
      <c r="T2406" s="225"/>
      <c r="U2406" s="170"/>
      <c r="W2406" s="253"/>
    </row>
    <row r="2407" spans="1:23" hidden="1" outlineLevel="1" collapsed="1">
      <c r="A2407" s="162"/>
      <c r="B2407" s="163"/>
      <c r="C2407" s="151" t="s">
        <v>541</v>
      </c>
      <c r="D2407" s="339"/>
      <c r="E2407" s="164"/>
      <c r="F2407" s="165"/>
      <c r="G2407" s="197"/>
      <c r="H2407" s="157"/>
      <c r="I2407" s="157"/>
      <c r="J2407" s="157"/>
      <c r="K2407" s="158"/>
      <c r="L2407" s="155"/>
      <c r="M2407" s="156"/>
      <c r="N2407" s="250"/>
      <c r="O2407" s="157"/>
      <c r="P2407" s="248"/>
      <c r="Q2407" s="158"/>
      <c r="R2407" s="255"/>
      <c r="S2407" s="159"/>
      <c r="T2407" s="225"/>
      <c r="U2407" s="170"/>
      <c r="W2407" s="310"/>
    </row>
    <row r="2408" spans="1:23" s="233" customFormat="1" hidden="1" outlineLevel="2">
      <c r="A2408" s="312"/>
      <c r="B2408" s="151" t="s">
        <v>516</v>
      </c>
      <c r="C2408" s="171"/>
      <c r="D2408" s="343"/>
      <c r="E2408" s="157"/>
      <c r="F2408" s="158"/>
      <c r="G2408" s="197"/>
      <c r="H2408" s="157"/>
      <c r="I2408" s="157"/>
      <c r="J2408" s="157"/>
      <c r="K2408" s="158"/>
      <c r="L2408" s="155"/>
      <c r="M2408" s="156"/>
      <c r="N2408" s="250"/>
      <c r="O2408" s="157"/>
      <c r="P2408" s="248"/>
      <c r="Q2408" s="158"/>
      <c r="R2408" s="255"/>
      <c r="S2408" s="159"/>
      <c r="T2408" s="225"/>
      <c r="U2408" s="161"/>
    </row>
    <row r="2409" spans="1:23" hidden="1" outlineLevel="2">
      <c r="A2409" s="162"/>
      <c r="B2409" s="163"/>
      <c r="C2409" s="236" t="s">
        <v>891</v>
      </c>
      <c r="D2409" s="361"/>
      <c r="E2409" s="164"/>
      <c r="F2409" s="165"/>
      <c r="G2409" s="197"/>
      <c r="H2409" s="157"/>
      <c r="I2409" s="157"/>
      <c r="J2409" s="157"/>
      <c r="K2409" s="158"/>
      <c r="L2409" s="155"/>
      <c r="M2409" s="156"/>
      <c r="N2409" s="250"/>
      <c r="O2409" s="157"/>
      <c r="P2409" s="248"/>
      <c r="Q2409" s="158"/>
      <c r="R2409" s="255"/>
      <c r="S2409" s="159"/>
      <c r="T2409" s="225"/>
      <c r="U2409" s="170"/>
      <c r="W2409" s="253"/>
    </row>
    <row r="2410" spans="1:23" hidden="1" outlineLevel="2">
      <c r="A2410" s="162"/>
      <c r="B2410" s="163"/>
      <c r="C2410" s="236" t="s">
        <v>893</v>
      </c>
      <c r="D2410" s="361"/>
      <c r="E2410" s="164"/>
      <c r="F2410" s="165"/>
      <c r="G2410" s="197"/>
      <c r="H2410" s="157"/>
      <c r="I2410" s="157"/>
      <c r="J2410" s="157"/>
      <c r="K2410" s="158"/>
      <c r="L2410" s="155"/>
      <c r="M2410" s="156"/>
      <c r="N2410" s="250"/>
      <c r="O2410" s="157"/>
      <c r="P2410" s="248"/>
      <c r="Q2410" s="158"/>
      <c r="R2410" s="255"/>
      <c r="S2410" s="159"/>
      <c r="T2410" s="225"/>
      <c r="U2410" s="170"/>
      <c r="W2410" s="253"/>
    </row>
    <row r="2411" spans="1:23" hidden="1" outlineLevel="2">
      <c r="A2411" s="162"/>
      <c r="B2411" s="163"/>
      <c r="C2411" s="236" t="s">
        <v>894</v>
      </c>
      <c r="D2411" s="361"/>
      <c r="E2411" s="164"/>
      <c r="F2411" s="165"/>
      <c r="G2411" s="197"/>
      <c r="H2411" s="157"/>
      <c r="I2411" s="157"/>
      <c r="J2411" s="157"/>
      <c r="K2411" s="158"/>
      <c r="L2411" s="155"/>
      <c r="M2411" s="156"/>
      <c r="N2411" s="250"/>
      <c r="O2411" s="157"/>
      <c r="P2411" s="248"/>
      <c r="Q2411" s="158"/>
      <c r="R2411" s="255"/>
      <c r="S2411" s="159"/>
      <c r="T2411" s="225"/>
      <c r="U2411" s="170"/>
      <c r="W2411" s="253"/>
    </row>
    <row r="2412" spans="1:23" hidden="1" outlineLevel="2">
      <c r="A2412" s="162"/>
      <c r="B2412" s="163"/>
      <c r="C2412" s="236" t="s">
        <v>895</v>
      </c>
      <c r="D2412" s="361"/>
      <c r="E2412" s="164"/>
      <c r="F2412" s="165"/>
      <c r="G2412" s="197"/>
      <c r="H2412" s="157"/>
      <c r="I2412" s="157"/>
      <c r="J2412" s="157"/>
      <c r="K2412" s="158"/>
      <c r="L2412" s="155"/>
      <c r="M2412" s="156"/>
      <c r="N2412" s="250"/>
      <c r="O2412" s="157"/>
      <c r="P2412" s="248"/>
      <c r="Q2412" s="158"/>
      <c r="R2412" s="255"/>
      <c r="S2412" s="159"/>
      <c r="T2412" s="225"/>
      <c r="U2412" s="170"/>
      <c r="W2412" s="253"/>
    </row>
    <row r="2413" spans="1:23" hidden="1" outlineLevel="2">
      <c r="A2413" s="162"/>
      <c r="B2413" s="163"/>
      <c r="C2413" s="236" t="s">
        <v>896</v>
      </c>
      <c r="D2413" s="361"/>
      <c r="E2413" s="164"/>
      <c r="F2413" s="165"/>
      <c r="G2413" s="197"/>
      <c r="H2413" s="157"/>
      <c r="I2413" s="157"/>
      <c r="J2413" s="157"/>
      <c r="K2413" s="158"/>
      <c r="L2413" s="155"/>
      <c r="M2413" s="156"/>
      <c r="N2413" s="250"/>
      <c r="O2413" s="157"/>
      <c r="P2413" s="248"/>
      <c r="Q2413" s="158"/>
      <c r="R2413" s="255"/>
      <c r="S2413" s="159"/>
      <c r="T2413" s="225"/>
      <c r="U2413" s="170"/>
      <c r="W2413" s="253"/>
    </row>
    <row r="2414" spans="1:23" hidden="1" outlineLevel="2">
      <c r="A2414" s="162"/>
      <c r="B2414" s="163"/>
      <c r="C2414" s="236" t="s">
        <v>897</v>
      </c>
      <c r="D2414" s="361"/>
      <c r="E2414" s="164"/>
      <c r="F2414" s="165"/>
      <c r="G2414" s="197"/>
      <c r="H2414" s="157"/>
      <c r="I2414" s="157"/>
      <c r="J2414" s="157"/>
      <c r="K2414" s="158"/>
      <c r="L2414" s="155"/>
      <c r="M2414" s="156"/>
      <c r="N2414" s="250"/>
      <c r="O2414" s="157"/>
      <c r="P2414" s="248"/>
      <c r="Q2414" s="158"/>
      <c r="R2414" s="255"/>
      <c r="S2414" s="159"/>
      <c r="T2414" s="225"/>
      <c r="U2414" s="170"/>
      <c r="W2414" s="253"/>
    </row>
    <row r="2415" spans="1:23" hidden="1" outlineLevel="2">
      <c r="A2415" s="162"/>
      <c r="B2415" s="163"/>
      <c r="C2415" s="236" t="s">
        <v>898</v>
      </c>
      <c r="D2415" s="361"/>
      <c r="E2415" s="164"/>
      <c r="F2415" s="165"/>
      <c r="G2415" s="197"/>
      <c r="H2415" s="157"/>
      <c r="I2415" s="157"/>
      <c r="J2415" s="157"/>
      <c r="K2415" s="158"/>
      <c r="L2415" s="155"/>
      <c r="M2415" s="156"/>
      <c r="N2415" s="250"/>
      <c r="O2415" s="157"/>
      <c r="P2415" s="248"/>
      <c r="Q2415" s="158"/>
      <c r="R2415" s="255"/>
      <c r="S2415" s="159"/>
      <c r="T2415" s="225"/>
      <c r="U2415" s="170"/>
      <c r="W2415" s="253"/>
    </row>
    <row r="2416" spans="1:23" hidden="1" outlineLevel="2">
      <c r="A2416" s="162"/>
      <c r="B2416" s="163"/>
      <c r="C2416" s="236" t="s">
        <v>379</v>
      </c>
      <c r="D2416" s="361"/>
      <c r="E2416" s="164"/>
      <c r="F2416" s="165"/>
      <c r="G2416" s="197"/>
      <c r="H2416" s="157"/>
      <c r="I2416" s="157"/>
      <c r="J2416" s="157"/>
      <c r="K2416" s="158"/>
      <c r="L2416" s="155"/>
      <c r="M2416" s="156"/>
      <c r="N2416" s="250"/>
      <c r="O2416" s="157"/>
      <c r="P2416" s="248"/>
      <c r="Q2416" s="158"/>
      <c r="R2416" s="255"/>
      <c r="S2416" s="159"/>
      <c r="T2416" s="225"/>
      <c r="U2416" s="170"/>
      <c r="W2416" s="253"/>
    </row>
    <row r="2417" spans="1:25" hidden="1" outlineLevel="1" collapsed="1">
      <c r="A2417" s="162"/>
      <c r="B2417" s="163"/>
      <c r="C2417" s="151" t="s">
        <v>516</v>
      </c>
      <c r="D2417" s="339"/>
      <c r="E2417" s="164"/>
      <c r="F2417" s="165"/>
      <c r="G2417" s="197"/>
      <c r="H2417" s="157"/>
      <c r="I2417" s="157"/>
      <c r="J2417" s="157"/>
      <c r="K2417" s="158"/>
      <c r="L2417" s="155"/>
      <c r="M2417" s="156"/>
      <c r="N2417" s="250"/>
      <c r="O2417" s="157"/>
      <c r="P2417" s="248"/>
      <c r="Q2417" s="158"/>
      <c r="R2417" s="255"/>
      <c r="S2417" s="159"/>
      <c r="T2417" s="225"/>
      <c r="U2417" s="170"/>
      <c r="W2417" s="310"/>
    </row>
    <row r="2418" spans="1:25" s="233" customFormat="1" ht="16.5" customHeight="1" collapsed="1">
      <c r="A2418" s="312"/>
      <c r="B2418" s="171"/>
      <c r="C2418" s="151" t="s">
        <v>935</v>
      </c>
      <c r="D2418" s="360"/>
      <c r="E2418" s="244"/>
      <c r="F2418" s="248"/>
      <c r="G2418" s="249"/>
      <c r="H2418" s="244"/>
      <c r="I2418" s="244"/>
      <c r="J2418" s="244"/>
      <c r="K2418" s="248"/>
      <c r="L2418" s="159"/>
      <c r="M2418" s="156">
        <f>SUM(M2217,M2227,M2237,M2247,M2267,M2277,M2287,M2297,M2307,M2317,M2327,M2347,M2357,M2367,M2377,M2387,M2397,M2407,M2417)</f>
        <v>2345000</v>
      </c>
      <c r="N2418" s="250">
        <f>M2418*1.23</f>
        <v>2884350</v>
      </c>
      <c r="O2418" s="156">
        <f>SUM(O2217,O2227,O2237,O2247,O2267,O2277,O2287,O2297,O2307,O2317,O2327,O2347,O2357,O2367,O2377,O2387,O2397,O2407,O2417)</f>
        <v>500000</v>
      </c>
      <c r="P2418" s="248">
        <f t="shared" ref="P2418" si="180">O2418*1.46</f>
        <v>730000</v>
      </c>
      <c r="Q2418" s="259"/>
      <c r="R2418" s="255"/>
      <c r="S2418" s="159">
        <f t="shared" ref="S2418" si="181">SUM(L2418,N2418,P2418,R2418)</f>
        <v>3614350</v>
      </c>
      <c r="T2418" s="225"/>
      <c r="U2418" s="161"/>
    </row>
    <row r="2419" spans="1:25" s="233" customFormat="1" hidden="1" outlineLevel="1">
      <c r="A2419" s="229" t="s">
        <v>936</v>
      </c>
      <c r="B2419" s="171"/>
      <c r="C2419" s="151"/>
      <c r="D2419" s="360"/>
      <c r="E2419" s="157"/>
      <c r="F2419" s="158"/>
      <c r="G2419" s="197"/>
      <c r="H2419" s="157"/>
      <c r="I2419" s="157"/>
      <c r="J2419" s="157"/>
      <c r="K2419" s="158"/>
      <c r="L2419" s="155"/>
      <c r="M2419" s="156"/>
      <c r="N2419" s="250"/>
      <c r="O2419" s="157"/>
      <c r="P2419" s="248"/>
      <c r="Q2419" s="158"/>
      <c r="R2419" s="255"/>
      <c r="S2419" s="159"/>
      <c r="T2419" s="225"/>
      <c r="U2419" s="161"/>
    </row>
    <row r="2420" spans="1:25" s="233" customFormat="1" hidden="1" outlineLevel="1">
      <c r="A2420" s="229"/>
      <c r="B2420" s="171"/>
      <c r="C2420" s="151" t="s">
        <v>937</v>
      </c>
      <c r="D2420" s="360"/>
      <c r="E2420" s="157"/>
      <c r="F2420" s="158"/>
      <c r="G2420" s="197"/>
      <c r="H2420" s="157"/>
      <c r="I2420" s="157"/>
      <c r="J2420" s="157"/>
      <c r="K2420" s="158"/>
      <c r="L2420" s="155"/>
      <c r="M2420" s="156">
        <v>148135</v>
      </c>
      <c r="N2420" s="250">
        <f>M2420*1.23</f>
        <v>182206.05</v>
      </c>
      <c r="O2420" s="157"/>
      <c r="P2420" s="248"/>
      <c r="Q2420" s="158"/>
      <c r="R2420" s="255"/>
      <c r="S2420" s="159">
        <f t="shared" ref="S2420:S2426" si="182">SUM(L2420,N2420,P2420,R2420)</f>
        <v>182206.05</v>
      </c>
      <c r="T2420" s="295" t="s">
        <v>595</v>
      </c>
      <c r="U2420" s="161"/>
    </row>
    <row r="2421" spans="1:25" s="233" customFormat="1" hidden="1" outlineLevel="1">
      <c r="A2421" s="229"/>
      <c r="B2421" s="171"/>
      <c r="C2421" s="151" t="s">
        <v>938</v>
      </c>
      <c r="D2421" s="360"/>
      <c r="E2421" s="157"/>
      <c r="F2421" s="158"/>
      <c r="G2421" s="197"/>
      <c r="H2421" s="157"/>
      <c r="I2421" s="157"/>
      <c r="J2421" s="157"/>
      <c r="K2421" s="158"/>
      <c r="L2421" s="155"/>
      <c r="M2421" s="157">
        <v>146000</v>
      </c>
      <c r="N2421" s="250">
        <f t="shared" ref="N2421:N2422" si="183">M2421*1.23</f>
        <v>179580</v>
      </c>
      <c r="O2421" s="157"/>
      <c r="P2421" s="248"/>
      <c r="Q2421" s="158"/>
      <c r="R2421" s="255"/>
      <c r="S2421" s="159">
        <f t="shared" si="182"/>
        <v>179580</v>
      </c>
      <c r="T2421" s="295" t="s">
        <v>595</v>
      </c>
      <c r="U2421" s="161"/>
    </row>
    <row r="2422" spans="1:25" s="233" customFormat="1" hidden="1" outlineLevel="1">
      <c r="A2422" s="229"/>
      <c r="B2422" s="171"/>
      <c r="C2422" s="151" t="s">
        <v>939</v>
      </c>
      <c r="D2422" s="360"/>
      <c r="E2422" s="157"/>
      <c r="F2422" s="158"/>
      <c r="G2422" s="197"/>
      <c r="H2422" s="157"/>
      <c r="I2422" s="157"/>
      <c r="J2422" s="157"/>
      <c r="K2422" s="158"/>
      <c r="L2422" s="155"/>
      <c r="M2422" s="158">
        <v>406600</v>
      </c>
      <c r="N2422" s="250">
        <f t="shared" si="183"/>
        <v>500118</v>
      </c>
      <c r="O2422" s="158"/>
      <c r="P2422" s="248"/>
      <c r="Q2422" s="158"/>
      <c r="R2422" s="255"/>
      <c r="S2422" s="159">
        <f t="shared" si="182"/>
        <v>500118</v>
      </c>
      <c r="T2422" s="295" t="s">
        <v>595</v>
      </c>
      <c r="U2422" s="161"/>
    </row>
    <row r="2423" spans="1:25" s="233" customFormat="1" hidden="1" outlineLevel="1">
      <c r="A2423" s="229"/>
      <c r="B2423" s="171"/>
      <c r="C2423" s="151" t="s">
        <v>940</v>
      </c>
      <c r="D2423" s="360"/>
      <c r="E2423" s="157"/>
      <c r="F2423" s="158"/>
      <c r="G2423" s="197"/>
      <c r="H2423" s="157"/>
      <c r="I2423" s="157"/>
      <c r="J2423" s="157"/>
      <c r="K2423" s="158"/>
      <c r="L2423" s="155"/>
      <c r="M2423" s="156"/>
      <c r="N2423" s="250"/>
      <c r="O2423" s="157">
        <v>1601195</v>
      </c>
      <c r="P2423" s="248">
        <f>O2423*1.46</f>
        <v>2337744.6999999997</v>
      </c>
      <c r="Q2423" s="158">
        <v>1500000</v>
      </c>
      <c r="R2423" s="255">
        <f>Q2423*1.73</f>
        <v>2595000</v>
      </c>
      <c r="S2423" s="159">
        <f t="shared" si="182"/>
        <v>4932744.6999999993</v>
      </c>
      <c r="T2423" s="295" t="s">
        <v>595</v>
      </c>
      <c r="U2423" s="161"/>
    </row>
    <row r="2424" spans="1:25" s="233" customFormat="1" ht="15.75" hidden="1" customHeight="1" outlineLevel="1">
      <c r="A2424" s="229"/>
      <c r="B2424" s="171"/>
      <c r="C2424" s="151" t="s">
        <v>941</v>
      </c>
      <c r="D2424" s="360"/>
      <c r="E2424" s="157"/>
      <c r="F2424" s="158"/>
      <c r="G2424" s="197"/>
      <c r="H2424" s="157"/>
      <c r="I2424" s="157"/>
      <c r="J2424" s="157"/>
      <c r="K2424" s="158"/>
      <c r="L2424" s="155"/>
      <c r="M2424" s="156"/>
      <c r="N2424" s="250"/>
      <c r="O2424" s="157"/>
      <c r="P2424" s="248"/>
      <c r="Q2424" s="158">
        <v>360000</v>
      </c>
      <c r="R2424" s="255">
        <f t="shared" ref="R2424:R2426" si="184">Q2424*1.73</f>
        <v>622800</v>
      </c>
      <c r="S2424" s="159">
        <f t="shared" si="182"/>
        <v>622800</v>
      </c>
      <c r="T2424" s="295" t="s">
        <v>595</v>
      </c>
      <c r="U2424" s="161"/>
    </row>
    <row r="2425" spans="1:25" s="233" customFormat="1" ht="16.5" customHeight="1" collapsed="1">
      <c r="A2425" s="229"/>
      <c r="B2425" s="171"/>
      <c r="C2425" s="151" t="s">
        <v>942</v>
      </c>
      <c r="D2425" s="360"/>
      <c r="E2425" s="244"/>
      <c r="F2425" s="248"/>
      <c r="G2425" s="249"/>
      <c r="H2425" s="244"/>
      <c r="I2425" s="244"/>
      <c r="J2425" s="244"/>
      <c r="K2425" s="248"/>
      <c r="L2425" s="159"/>
      <c r="M2425" s="156">
        <f>SUM(M2420:M2424)</f>
        <v>700735</v>
      </c>
      <c r="N2425" s="250">
        <f>M2425*1.23</f>
        <v>861904.04999999993</v>
      </c>
      <c r="O2425" s="157">
        <f>SUM(O2420:O2424)</f>
        <v>1601195</v>
      </c>
      <c r="P2425" s="248">
        <f>O2425*1.46</f>
        <v>2337744.6999999997</v>
      </c>
      <c r="Q2425" s="158">
        <f>SUM(Q2420:Q2424)</f>
        <v>1860000</v>
      </c>
      <c r="R2425" s="255">
        <f t="shared" si="184"/>
        <v>3217800</v>
      </c>
      <c r="S2425" s="159">
        <f t="shared" si="182"/>
        <v>6417448.75</v>
      </c>
      <c r="T2425" s="295" t="s">
        <v>595</v>
      </c>
      <c r="U2425" s="161"/>
    </row>
    <row r="2426" spans="1:25" ht="16.5" customHeight="1">
      <c r="A2426" s="231"/>
      <c r="B2426" s="749" t="s">
        <v>943</v>
      </c>
      <c r="C2426" s="750"/>
      <c r="D2426" s="348"/>
      <c r="E2426" s="164"/>
      <c r="F2426" s="165"/>
      <c r="G2426" s="249">
        <f t="shared" ref="G2426:Q2426" si="185">SUM(G2206,G2418,G2425)</f>
        <v>0</v>
      </c>
      <c r="H2426" s="244">
        <f t="shared" si="185"/>
        <v>0</v>
      </c>
      <c r="I2426" s="244"/>
      <c r="J2426" s="244"/>
      <c r="K2426" s="255">
        <f t="shared" si="185"/>
        <v>0</v>
      </c>
      <c r="L2426" s="159">
        <f t="shared" si="185"/>
        <v>0</v>
      </c>
      <c r="M2426" s="156">
        <f t="shared" si="185"/>
        <v>6950735</v>
      </c>
      <c r="N2426" s="250">
        <f>M2426*1.23</f>
        <v>8549404.0500000007</v>
      </c>
      <c r="O2426" s="157">
        <f t="shared" si="185"/>
        <v>3166195</v>
      </c>
      <c r="P2426" s="248">
        <f>O2426*1.46</f>
        <v>4622644.7</v>
      </c>
      <c r="Q2426" s="158">
        <f t="shared" si="185"/>
        <v>1860000</v>
      </c>
      <c r="R2426" s="255">
        <f t="shared" si="184"/>
        <v>3217800</v>
      </c>
      <c r="S2426" s="159">
        <f t="shared" si="182"/>
        <v>16389848.75</v>
      </c>
      <c r="T2426" s="225"/>
      <c r="U2426" s="161"/>
    </row>
    <row r="2427" spans="1:25" ht="12.75" customHeight="1">
      <c r="A2427" s="231"/>
      <c r="B2427" s="163"/>
      <c r="C2427" s="163"/>
      <c r="D2427" s="166"/>
      <c r="E2427" s="164"/>
      <c r="F2427" s="165"/>
      <c r="G2427" s="172"/>
      <c r="H2427" s="164"/>
      <c r="I2427" s="164"/>
      <c r="J2427" s="164"/>
      <c r="K2427" s="165"/>
      <c r="L2427" s="176"/>
      <c r="M2427" s="156"/>
      <c r="N2427" s="168"/>
      <c r="O2427" s="164"/>
      <c r="P2427" s="180"/>
      <c r="Q2427" s="165"/>
      <c r="R2427" s="500"/>
      <c r="S2427" s="159"/>
      <c r="T2427" s="225"/>
      <c r="U2427" s="170"/>
    </row>
    <row r="2428" spans="1:25" ht="15.75" customHeight="1">
      <c r="A2428" s="264" t="s">
        <v>944</v>
      </c>
      <c r="B2428" s="265"/>
      <c r="C2428" s="271"/>
      <c r="D2428" s="349"/>
      <c r="E2428" s="266"/>
      <c r="F2428" s="267"/>
      <c r="G2428" s="268"/>
      <c r="H2428" s="266"/>
      <c r="I2428" s="266"/>
      <c r="J2428" s="266"/>
      <c r="K2428" s="267"/>
      <c r="L2428" s="269"/>
      <c r="M2428" s="270"/>
      <c r="N2428" s="270"/>
      <c r="O2428" s="265"/>
      <c r="P2428" s="271"/>
      <c r="Q2428" s="271"/>
      <c r="R2428" s="293"/>
      <c r="S2428" s="272"/>
      <c r="T2428" s="294"/>
      <c r="U2428" s="274"/>
      <c r="Y2428" t="s">
        <v>514</v>
      </c>
    </row>
    <row r="2429" spans="1:25" ht="15.75" hidden="1" customHeight="1" outlineLevel="1">
      <c r="A2429" s="287" t="s">
        <v>945</v>
      </c>
      <c r="B2429" s="163"/>
      <c r="C2429" s="332"/>
      <c r="D2429" s="353"/>
      <c r="E2429" s="164"/>
      <c r="F2429" s="165"/>
      <c r="G2429" s="172"/>
      <c r="H2429" s="164"/>
      <c r="I2429" s="164"/>
      <c r="J2429" s="164"/>
      <c r="K2429" s="165"/>
      <c r="L2429" s="176"/>
      <c r="M2429" s="168"/>
      <c r="N2429" s="168"/>
      <c r="O2429" s="164"/>
      <c r="P2429" s="165"/>
      <c r="Q2429" s="165"/>
      <c r="R2429" s="211"/>
      <c r="S2429" s="159"/>
      <c r="T2429" s="225"/>
      <c r="U2429" s="161"/>
    </row>
    <row r="2430" spans="1:25" ht="15.75" hidden="1" customHeight="1" outlineLevel="1">
      <c r="A2430" s="229"/>
      <c r="B2430" s="163"/>
      <c r="C2430" s="151" t="s">
        <v>946</v>
      </c>
      <c r="D2430" s="353"/>
      <c r="E2430" s="164"/>
      <c r="F2430" s="165"/>
      <c r="G2430" s="172"/>
      <c r="H2430" s="164"/>
      <c r="I2430" s="164"/>
      <c r="J2430" s="164"/>
      <c r="K2430" s="165"/>
      <c r="L2430" s="176"/>
      <c r="M2430" s="168"/>
      <c r="N2430" s="168"/>
      <c r="O2430" s="164"/>
      <c r="P2430" s="165"/>
      <c r="Q2430" s="165">
        <v>1000000</v>
      </c>
      <c r="R2430" s="255">
        <f t="shared" ref="R2430" si="186">Q2430*1.73</f>
        <v>1730000</v>
      </c>
      <c r="S2430" s="159">
        <f t="shared" ref="S2430:S2476" si="187">SUM(L2430,N2430,P2430,R2430)</f>
        <v>1730000</v>
      </c>
      <c r="T2430" s="225"/>
      <c r="U2430" s="161"/>
    </row>
    <row r="2431" spans="1:25" ht="15.75" hidden="1" customHeight="1" outlineLevel="1">
      <c r="A2431" s="300"/>
      <c r="B2431" s="163"/>
      <c r="C2431" s="151" t="s">
        <v>947</v>
      </c>
      <c r="D2431" s="353"/>
      <c r="E2431" s="164"/>
      <c r="F2431" s="165"/>
      <c r="G2431" s="172"/>
      <c r="H2431" s="164"/>
      <c r="I2431" s="164"/>
      <c r="J2431" s="164"/>
      <c r="K2431" s="165"/>
      <c r="L2431" s="176"/>
      <c r="M2431" s="168">
        <v>1000000</v>
      </c>
      <c r="N2431" s="250">
        <f>M2431*1.23</f>
        <v>1230000</v>
      </c>
      <c r="O2431" s="164"/>
      <c r="P2431" s="165"/>
      <c r="Q2431" s="165"/>
      <c r="R2431" s="211"/>
      <c r="S2431" s="159">
        <f t="shared" si="187"/>
        <v>1230000</v>
      </c>
      <c r="T2431" s="225"/>
      <c r="U2431" s="161"/>
    </row>
    <row r="2432" spans="1:25" ht="15.75" hidden="1" customHeight="1" outlineLevel="1">
      <c r="A2432" s="229"/>
      <c r="B2432" s="163"/>
      <c r="C2432" s="151" t="s">
        <v>948</v>
      </c>
      <c r="D2432" s="353"/>
      <c r="E2432" s="164"/>
      <c r="F2432" s="165"/>
      <c r="G2432" s="172"/>
      <c r="H2432" s="164"/>
      <c r="I2432" s="164"/>
      <c r="J2432" s="164"/>
      <c r="K2432" s="165"/>
      <c r="L2432" s="176"/>
      <c r="M2432" s="168"/>
      <c r="N2432" s="168"/>
      <c r="O2432" s="164">
        <v>1000000</v>
      </c>
      <c r="P2432" s="248">
        <f t="shared" ref="P2432" si="188">O2432*1.46</f>
        <v>1460000</v>
      </c>
      <c r="Q2432" s="165"/>
      <c r="R2432" s="211"/>
      <c r="S2432" s="159">
        <f t="shared" si="187"/>
        <v>1460000</v>
      </c>
      <c r="T2432" s="225"/>
      <c r="U2432" s="161"/>
    </row>
    <row r="2433" spans="1:21" ht="15.75" hidden="1" customHeight="1" outlineLevel="1">
      <c r="A2433" s="300"/>
      <c r="B2433" s="163"/>
      <c r="C2433" s="151" t="s">
        <v>949</v>
      </c>
      <c r="D2433" s="353"/>
      <c r="E2433" s="164"/>
      <c r="F2433" s="165"/>
      <c r="G2433" s="172"/>
      <c r="H2433" s="164"/>
      <c r="I2433" s="164">
        <f>CIP!$AT$69</f>
        <v>0</v>
      </c>
      <c r="J2433" s="164"/>
      <c r="K2433" s="165"/>
      <c r="L2433" s="176">
        <f>SUM(G2433:K2433)</f>
        <v>0</v>
      </c>
      <c r="M2433" s="168"/>
      <c r="N2433" s="168"/>
      <c r="O2433" s="164"/>
      <c r="P2433" s="165"/>
      <c r="Q2433" s="165">
        <v>600000</v>
      </c>
      <c r="R2433" s="255">
        <f t="shared" ref="R2433" si="189">Q2433*1.73</f>
        <v>1038000</v>
      </c>
      <c r="S2433" s="159">
        <f t="shared" si="187"/>
        <v>1038000</v>
      </c>
      <c r="T2433" s="225"/>
      <c r="U2433" s="161"/>
    </row>
    <row r="2434" spans="1:21" ht="15.75" hidden="1" customHeight="1" outlineLevel="1">
      <c r="A2434" s="300"/>
      <c r="B2434" s="163"/>
      <c r="C2434" s="151" t="s">
        <v>950</v>
      </c>
      <c r="D2434" s="353"/>
      <c r="E2434" s="164"/>
      <c r="F2434" s="165"/>
      <c r="G2434" s="172"/>
      <c r="H2434" s="164"/>
      <c r="I2434" s="164"/>
      <c r="J2434" s="164"/>
      <c r="K2434" s="165"/>
      <c r="L2434" s="176"/>
      <c r="M2434" s="168">
        <v>600000</v>
      </c>
      <c r="N2434" s="250">
        <f>M2434*1.23</f>
        <v>738000</v>
      </c>
      <c r="O2434" s="164"/>
      <c r="P2434" s="165"/>
      <c r="Q2434" s="165"/>
      <c r="R2434" s="211"/>
      <c r="S2434" s="159">
        <f t="shared" si="187"/>
        <v>738000</v>
      </c>
      <c r="T2434" s="225"/>
      <c r="U2434" s="161"/>
    </row>
    <row r="2435" spans="1:21" ht="15.75" hidden="1" customHeight="1" outlineLevel="1">
      <c r="A2435" s="300"/>
      <c r="B2435" s="163"/>
      <c r="C2435" s="151" t="s">
        <v>951</v>
      </c>
      <c r="D2435" s="353"/>
      <c r="E2435" s="164"/>
      <c r="F2435" s="165"/>
      <c r="G2435" s="172"/>
      <c r="H2435" s="164"/>
      <c r="I2435" s="164"/>
      <c r="J2435" s="164"/>
      <c r="K2435" s="165">
        <f>CIP!$AV$124</f>
        <v>0</v>
      </c>
      <c r="L2435" s="176">
        <f>SUM(G2435:K2435)</f>
        <v>0</v>
      </c>
      <c r="M2435" s="168"/>
      <c r="N2435" s="211"/>
      <c r="Q2435" s="165">
        <v>600000</v>
      </c>
      <c r="R2435" s="255">
        <f t="shared" ref="R2435" si="190">Q2435*1.73</f>
        <v>1038000</v>
      </c>
      <c r="S2435" s="159">
        <f t="shared" si="187"/>
        <v>1038000</v>
      </c>
      <c r="T2435" s="225"/>
      <c r="U2435" s="161"/>
    </row>
    <row r="2436" spans="1:21" ht="15.75" hidden="1" customHeight="1" outlineLevel="1">
      <c r="A2436" s="300"/>
      <c r="B2436" s="163"/>
      <c r="C2436" s="151" t="s">
        <v>952</v>
      </c>
      <c r="D2436" s="353"/>
      <c r="E2436" s="164"/>
      <c r="F2436" s="165"/>
      <c r="G2436" s="172"/>
      <c r="H2436" s="164"/>
      <c r="I2436" s="164"/>
      <c r="J2436" s="164"/>
      <c r="K2436" s="165"/>
      <c r="L2436" s="176"/>
      <c r="M2436" s="168"/>
      <c r="N2436" s="168"/>
      <c r="O2436" s="164">
        <v>600000</v>
      </c>
      <c r="P2436" s="248">
        <f t="shared" ref="P2436:P2437" si="191">O2436*1.46</f>
        <v>876000</v>
      </c>
      <c r="Q2436" s="165"/>
      <c r="R2436" s="211"/>
      <c r="S2436" s="159">
        <f t="shared" si="187"/>
        <v>876000</v>
      </c>
      <c r="T2436" s="225"/>
      <c r="U2436" s="161"/>
    </row>
    <row r="2437" spans="1:21" ht="15.75" hidden="1" customHeight="1" outlineLevel="1">
      <c r="A2437" s="300"/>
      <c r="B2437" s="163"/>
      <c r="C2437" s="151" t="s">
        <v>953</v>
      </c>
      <c r="D2437" s="353"/>
      <c r="E2437" s="164"/>
      <c r="F2437" s="165"/>
      <c r="G2437" s="172"/>
      <c r="H2437" s="164"/>
      <c r="I2437" s="164"/>
      <c r="J2437" s="164"/>
      <c r="K2437" s="165"/>
      <c r="L2437" s="176"/>
      <c r="M2437" s="168"/>
      <c r="N2437" s="168"/>
      <c r="O2437" s="164">
        <v>600000</v>
      </c>
      <c r="P2437" s="248">
        <f t="shared" si="191"/>
        <v>876000</v>
      </c>
      <c r="Q2437" s="165"/>
      <c r="R2437" s="211"/>
      <c r="S2437" s="159">
        <f t="shared" si="187"/>
        <v>876000</v>
      </c>
      <c r="T2437" s="225"/>
      <c r="U2437" s="161"/>
    </row>
    <row r="2438" spans="1:21" ht="15.75" hidden="1" customHeight="1" outlineLevel="1">
      <c r="A2438" s="300"/>
      <c r="B2438" s="163"/>
      <c r="C2438" s="151" t="s">
        <v>954</v>
      </c>
      <c r="D2438" s="353"/>
      <c r="E2438" s="164"/>
      <c r="F2438" s="165"/>
      <c r="G2438" s="172"/>
      <c r="H2438" s="164"/>
      <c r="I2438" s="164"/>
      <c r="J2438" s="164"/>
      <c r="K2438" s="165"/>
      <c r="L2438" s="176"/>
      <c r="M2438" s="168"/>
      <c r="N2438" s="168"/>
      <c r="O2438" s="164"/>
      <c r="P2438" s="165"/>
      <c r="Q2438" s="165">
        <v>600000</v>
      </c>
      <c r="R2438" s="255">
        <f t="shared" ref="R2438:R2439" si="192">Q2438*1.73</f>
        <v>1038000</v>
      </c>
      <c r="S2438" s="159">
        <f t="shared" si="187"/>
        <v>1038000</v>
      </c>
      <c r="T2438" s="225"/>
      <c r="U2438" s="161"/>
    </row>
    <row r="2439" spans="1:21" ht="15.75" hidden="1" customHeight="1" outlineLevel="1">
      <c r="A2439" s="300"/>
      <c r="B2439" s="163"/>
      <c r="C2439" s="151" t="s">
        <v>955</v>
      </c>
      <c r="D2439" s="353"/>
      <c r="E2439" s="164"/>
      <c r="F2439" s="165"/>
      <c r="G2439" s="172"/>
      <c r="H2439" s="164"/>
      <c r="I2439" s="164"/>
      <c r="J2439" s="314"/>
      <c r="K2439" s="314"/>
      <c r="L2439" s="176"/>
      <c r="M2439" s="305">
        <v>600000</v>
      </c>
      <c r="N2439" s="250">
        <f t="shared" ref="N2439:N2445" si="193">M2439*1.23</f>
        <v>738000</v>
      </c>
      <c r="O2439" s="164"/>
      <c r="P2439" s="165"/>
      <c r="Q2439" s="165">
        <v>600000</v>
      </c>
      <c r="R2439" s="255">
        <f t="shared" si="192"/>
        <v>1038000</v>
      </c>
      <c r="S2439" s="159">
        <f t="shared" si="187"/>
        <v>1776000</v>
      </c>
      <c r="T2439" s="225"/>
      <c r="U2439" s="240"/>
    </row>
    <row r="2440" spans="1:21" ht="15.75" hidden="1" outlineLevel="1">
      <c r="A2440" s="300"/>
      <c r="B2440" s="163"/>
      <c r="C2440" s="151" t="s">
        <v>956</v>
      </c>
      <c r="D2440" s="353"/>
      <c r="E2440" s="164"/>
      <c r="F2440" s="165"/>
      <c r="G2440" s="172"/>
      <c r="H2440" s="164"/>
      <c r="I2440" s="164"/>
      <c r="J2440" s="164"/>
      <c r="K2440" s="165"/>
      <c r="L2440" s="176"/>
      <c r="M2440" s="165">
        <v>125000</v>
      </c>
      <c r="N2440" s="250">
        <f t="shared" si="193"/>
        <v>153750</v>
      </c>
      <c r="O2440" s="164"/>
      <c r="P2440" s="165"/>
      <c r="Q2440" s="165"/>
      <c r="R2440" s="211"/>
      <c r="S2440" s="159">
        <f t="shared" si="187"/>
        <v>153750</v>
      </c>
      <c r="T2440" s="225"/>
      <c r="U2440" s="161"/>
    </row>
    <row r="2441" spans="1:21" ht="15.75" hidden="1" outlineLevel="1">
      <c r="A2441" s="300"/>
      <c r="B2441" s="163"/>
      <c r="C2441" s="151" t="s">
        <v>957</v>
      </c>
      <c r="D2441" s="353"/>
      <c r="E2441" s="164"/>
      <c r="F2441" s="165"/>
      <c r="G2441" s="172"/>
      <c r="H2441" s="164"/>
      <c r="I2441" s="164"/>
      <c r="J2441" s="164"/>
      <c r="K2441" s="165"/>
      <c r="L2441" s="176"/>
      <c r="M2441" s="165">
        <v>80000</v>
      </c>
      <c r="N2441" s="250">
        <f t="shared" si="193"/>
        <v>98400</v>
      </c>
      <c r="O2441" s="164"/>
      <c r="P2441" s="165"/>
      <c r="Q2441" s="165"/>
      <c r="R2441" s="211"/>
      <c r="S2441" s="159">
        <f t="shared" si="187"/>
        <v>98400</v>
      </c>
      <c r="T2441" s="225"/>
      <c r="U2441" s="161"/>
    </row>
    <row r="2442" spans="1:21" ht="15.75" hidden="1" outlineLevel="1">
      <c r="A2442" s="300"/>
      <c r="B2442" s="163"/>
      <c r="C2442" s="151" t="s">
        <v>1321</v>
      </c>
      <c r="D2442" s="353"/>
      <c r="E2442" s="164"/>
      <c r="F2442" s="165"/>
      <c r="G2442" s="172"/>
      <c r="H2442" s="164"/>
      <c r="I2442" s="164"/>
      <c r="J2442" s="164"/>
      <c r="K2442" s="165"/>
      <c r="L2442" s="176"/>
      <c r="M2442" s="168">
        <v>125000</v>
      </c>
      <c r="N2442" s="250">
        <f t="shared" si="193"/>
        <v>153750</v>
      </c>
      <c r="O2442" s="164"/>
      <c r="P2442" s="165"/>
      <c r="Q2442" s="165"/>
      <c r="R2442" s="211"/>
      <c r="S2442" s="159">
        <f t="shared" si="187"/>
        <v>153750</v>
      </c>
      <c r="T2442" s="225"/>
      <c r="U2442" s="161"/>
    </row>
    <row r="2443" spans="1:21" ht="15.75" hidden="1" outlineLevel="1">
      <c r="A2443" s="300"/>
      <c r="B2443" s="163"/>
      <c r="C2443" s="151" t="s">
        <v>958</v>
      </c>
      <c r="D2443" s="353"/>
      <c r="E2443" s="164"/>
      <c r="F2443" s="165"/>
      <c r="G2443" s="172"/>
      <c r="H2443" s="164"/>
      <c r="I2443" s="164"/>
      <c r="J2443" s="164"/>
      <c r="K2443" s="165"/>
      <c r="L2443" s="176"/>
      <c r="M2443" s="168">
        <v>200000</v>
      </c>
      <c r="N2443" s="250">
        <f t="shared" si="193"/>
        <v>246000</v>
      </c>
      <c r="O2443" s="164"/>
      <c r="P2443" s="165"/>
      <c r="Q2443" s="165"/>
      <c r="R2443" s="211"/>
      <c r="S2443" s="159">
        <f t="shared" si="187"/>
        <v>246000</v>
      </c>
      <c r="T2443" s="225"/>
      <c r="U2443" s="161"/>
    </row>
    <row r="2444" spans="1:21" ht="15.75" hidden="1" outlineLevel="1">
      <c r="A2444" s="300"/>
      <c r="B2444" s="163"/>
      <c r="C2444" s="151" t="s">
        <v>959</v>
      </c>
      <c r="D2444" s="353"/>
      <c r="E2444" s="164"/>
      <c r="F2444" s="165"/>
      <c r="G2444" s="172"/>
      <c r="H2444" s="164"/>
      <c r="I2444" s="164"/>
      <c r="J2444" s="164"/>
      <c r="K2444" s="165"/>
      <c r="L2444" s="176"/>
      <c r="M2444" s="168"/>
      <c r="N2444" s="168"/>
      <c r="O2444" s="164">
        <v>200000</v>
      </c>
      <c r="P2444" s="248">
        <f t="shared" ref="P2444" si="194">O2444*1.46</f>
        <v>292000</v>
      </c>
      <c r="Q2444" s="165"/>
      <c r="R2444" s="211"/>
      <c r="S2444" s="159">
        <f t="shared" si="187"/>
        <v>292000</v>
      </c>
      <c r="T2444" s="225"/>
      <c r="U2444" s="161"/>
    </row>
    <row r="2445" spans="1:21" ht="15.75" hidden="1" outlineLevel="1">
      <c r="A2445" s="300"/>
      <c r="B2445" s="163"/>
      <c r="C2445" s="151" t="s">
        <v>960</v>
      </c>
      <c r="D2445" s="353"/>
      <c r="E2445" s="164"/>
      <c r="F2445" s="165"/>
      <c r="G2445" s="172"/>
      <c r="H2445" s="164"/>
      <c r="I2445" s="164"/>
      <c r="J2445" s="164"/>
      <c r="K2445" s="165"/>
      <c r="L2445" s="176"/>
      <c r="M2445" s="168">
        <v>400000</v>
      </c>
      <c r="N2445" s="250">
        <f t="shared" si="193"/>
        <v>492000</v>
      </c>
      <c r="O2445" s="164"/>
      <c r="P2445" s="165"/>
      <c r="Q2445" s="165">
        <v>400000</v>
      </c>
      <c r="R2445" s="255">
        <f t="shared" ref="R2445:R2446" si="195">Q2445*1.73</f>
        <v>692000</v>
      </c>
      <c r="S2445" s="159">
        <f t="shared" si="187"/>
        <v>1184000</v>
      </c>
      <c r="T2445" s="225"/>
      <c r="U2445" s="161"/>
    </row>
    <row r="2446" spans="1:21" ht="16.5" customHeight="1" collapsed="1">
      <c r="A2446" s="229"/>
      <c r="B2446" s="163"/>
      <c r="C2446" s="151" t="s">
        <v>961</v>
      </c>
      <c r="D2446" s="360"/>
      <c r="E2446" s="164"/>
      <c r="F2446" s="165"/>
      <c r="G2446" s="249"/>
      <c r="H2446" s="244"/>
      <c r="I2446" s="244">
        <f>SUM(I2430:I2445)</f>
        <v>0</v>
      </c>
      <c r="J2446" s="244"/>
      <c r="K2446" s="255">
        <f>SUM(K2430:K2445)</f>
        <v>0</v>
      </c>
      <c r="L2446" s="159">
        <f>SUM(L2430:L2443)</f>
        <v>0</v>
      </c>
      <c r="M2446" s="250">
        <f>SUM(M2430:M2445)</f>
        <v>3130000</v>
      </c>
      <c r="N2446" s="250">
        <f t="shared" ref="N2446" si="196">M2446*1.23</f>
        <v>3849900</v>
      </c>
      <c r="O2446" s="244">
        <f>SUM(O2430:O2445)</f>
        <v>2400000</v>
      </c>
      <c r="P2446" s="244">
        <f t="shared" ref="P2446" si="197">O2446*1.46</f>
        <v>3504000</v>
      </c>
      <c r="Q2446" s="244">
        <f>SUM(Q2430:Q2445)</f>
        <v>3800000</v>
      </c>
      <c r="R2446" s="255">
        <f t="shared" si="195"/>
        <v>6574000</v>
      </c>
      <c r="S2446" s="159">
        <f t="shared" si="187"/>
        <v>13927900</v>
      </c>
      <c r="T2446" s="225"/>
      <c r="U2446" s="161"/>
    </row>
    <row r="2447" spans="1:21" hidden="1" outlineLevel="1">
      <c r="A2447" s="312" t="s">
        <v>659</v>
      </c>
      <c r="B2447" s="198"/>
      <c r="C2447" s="163"/>
      <c r="D2447" s="166"/>
      <c r="E2447" s="164"/>
      <c r="F2447" s="165"/>
      <c r="G2447" s="197"/>
      <c r="H2447" s="157"/>
      <c r="I2447" s="157"/>
      <c r="J2447" s="157"/>
      <c r="K2447" s="215"/>
      <c r="L2447" s="155"/>
      <c r="M2447" s="156"/>
      <c r="N2447" s="156"/>
      <c r="O2447" s="157"/>
      <c r="P2447" s="157"/>
      <c r="Q2447" s="157"/>
      <c r="R2447" s="215"/>
      <c r="S2447" s="159"/>
      <c r="T2447" s="225"/>
      <c r="U2447" s="161"/>
    </row>
    <row r="2448" spans="1:21" hidden="1" outlineLevel="2">
      <c r="A2448" s="231"/>
      <c r="B2448" s="151" t="s">
        <v>962</v>
      </c>
      <c r="C2448" s="163"/>
      <c r="D2448" s="166"/>
      <c r="E2448" s="164"/>
      <c r="F2448" s="165"/>
      <c r="G2448" s="197"/>
      <c r="H2448" s="157"/>
      <c r="I2448" s="157"/>
      <c r="J2448" s="157"/>
      <c r="K2448" s="215"/>
      <c r="L2448" s="155"/>
      <c r="M2448" s="156"/>
      <c r="N2448" s="156"/>
      <c r="O2448" s="157"/>
      <c r="P2448" s="157"/>
      <c r="Q2448" s="157"/>
      <c r="R2448" s="215"/>
      <c r="S2448" s="159"/>
      <c r="T2448" s="225"/>
      <c r="U2448" s="161"/>
    </row>
    <row r="2449" spans="1:21" hidden="1" outlineLevel="2">
      <c r="A2449" s="231"/>
      <c r="B2449" s="151"/>
      <c r="C2449" s="151" t="s">
        <v>1322</v>
      </c>
      <c r="D2449" s="166"/>
      <c r="E2449" s="164"/>
      <c r="F2449" s="165"/>
      <c r="G2449" s="205"/>
      <c r="H2449" s="157">
        <f>CIP!$AS$56</f>
        <v>0</v>
      </c>
      <c r="I2449" s="157"/>
      <c r="J2449" s="157">
        <f>CIP!$AU$115</f>
        <v>0</v>
      </c>
      <c r="K2449" s="215"/>
      <c r="L2449" s="155">
        <f t="shared" ref="L2449:L2455" si="198">SUM(G2449:K2449)</f>
        <v>0</v>
      </c>
      <c r="M2449" s="156"/>
      <c r="N2449" s="156"/>
      <c r="O2449" s="157"/>
      <c r="P2449" s="157"/>
      <c r="Q2449" s="157"/>
      <c r="R2449" s="215"/>
      <c r="S2449" s="159"/>
      <c r="T2449" s="225"/>
      <c r="U2449" s="161"/>
    </row>
    <row r="2450" spans="1:21" hidden="1" outlineLevel="2">
      <c r="A2450" s="231"/>
      <c r="B2450" s="151"/>
      <c r="C2450" s="151" t="s">
        <v>963</v>
      </c>
      <c r="D2450" s="166"/>
      <c r="E2450" s="164"/>
      <c r="F2450" s="165"/>
      <c r="G2450" s="205">
        <f>CIP!$AR$29</f>
        <v>0</v>
      </c>
      <c r="H2450" s="157"/>
      <c r="I2450" s="157"/>
      <c r="J2450" s="157"/>
      <c r="K2450" s="215"/>
      <c r="L2450" s="155">
        <f t="shared" si="198"/>
        <v>0</v>
      </c>
      <c r="M2450" s="156"/>
      <c r="N2450" s="156"/>
      <c r="O2450" s="157"/>
      <c r="P2450" s="157"/>
      <c r="Q2450" s="157"/>
      <c r="R2450" s="215"/>
      <c r="S2450" s="159"/>
      <c r="T2450" s="225"/>
      <c r="U2450" s="161"/>
    </row>
    <row r="2451" spans="1:21" hidden="1" outlineLevel="2">
      <c r="A2451" s="231"/>
      <c r="B2451" s="151"/>
      <c r="C2451" s="151" t="s">
        <v>964</v>
      </c>
      <c r="D2451" s="166"/>
      <c r="E2451" s="164"/>
      <c r="F2451" s="165"/>
      <c r="G2451" s="205"/>
      <c r="H2451" s="157"/>
      <c r="I2451" s="157"/>
      <c r="J2451" s="157"/>
      <c r="K2451" s="215"/>
      <c r="L2451" s="155"/>
      <c r="M2451" s="156"/>
      <c r="N2451" s="156"/>
      <c r="O2451" s="157"/>
      <c r="P2451" s="157"/>
      <c r="Q2451" s="157"/>
      <c r="R2451" s="215"/>
      <c r="S2451" s="159"/>
      <c r="T2451" s="225"/>
      <c r="U2451" s="161"/>
    </row>
    <row r="2452" spans="1:21" hidden="1" outlineLevel="2">
      <c r="A2452" s="231"/>
      <c r="B2452" s="151"/>
      <c r="C2452" s="151" t="s">
        <v>965</v>
      </c>
      <c r="D2452" s="166"/>
      <c r="E2452" s="164"/>
      <c r="F2452" s="165"/>
      <c r="G2452" s="205"/>
      <c r="H2452" s="157"/>
      <c r="I2452" s="618">
        <f>CIP!$AT$77</f>
        <v>0</v>
      </c>
      <c r="J2452" s="157"/>
      <c r="K2452" s="215"/>
      <c r="L2452" s="155">
        <f t="shared" si="198"/>
        <v>0</v>
      </c>
      <c r="M2452" s="156"/>
      <c r="N2452" s="156"/>
      <c r="O2452" s="157"/>
      <c r="P2452" s="157"/>
      <c r="Q2452" s="157"/>
      <c r="R2452" s="215"/>
      <c r="S2452" s="159"/>
      <c r="T2452" s="225"/>
      <c r="U2452" s="161"/>
    </row>
    <row r="2453" spans="1:21" hidden="1" outlineLevel="2">
      <c r="A2453" s="231"/>
      <c r="B2453" s="151"/>
      <c r="C2453" s="151" t="s">
        <v>966</v>
      </c>
      <c r="D2453" s="166"/>
      <c r="E2453" s="164"/>
      <c r="F2453" s="165"/>
      <c r="G2453" s="205"/>
      <c r="H2453" s="157"/>
      <c r="I2453" s="157"/>
      <c r="J2453" s="157"/>
      <c r="K2453" s="215">
        <f>CIP!$AV$136</f>
        <v>0</v>
      </c>
      <c r="L2453" s="155">
        <f>SUM(G2453:K2453)</f>
        <v>0</v>
      </c>
      <c r="M2453" s="156"/>
      <c r="N2453" s="156"/>
      <c r="O2453" s="157"/>
      <c r="P2453" s="157"/>
      <c r="Q2453" s="157"/>
      <c r="R2453" s="215"/>
      <c r="S2453" s="159"/>
      <c r="T2453" s="225"/>
      <c r="U2453" s="161"/>
    </row>
    <row r="2454" spans="1:21" hidden="1" outlineLevel="2">
      <c r="A2454" s="231"/>
      <c r="B2454" s="151"/>
      <c r="C2454" s="151" t="s">
        <v>967</v>
      </c>
      <c r="D2454" s="166"/>
      <c r="E2454" s="164"/>
      <c r="F2454" s="165"/>
      <c r="G2454" s="205"/>
      <c r="H2454" s="157"/>
      <c r="I2454" s="157"/>
      <c r="J2454" s="157"/>
      <c r="K2454" s="215"/>
      <c r="L2454" s="155"/>
      <c r="M2454" s="156"/>
      <c r="N2454" s="156"/>
      <c r="O2454" s="157"/>
      <c r="P2454" s="157"/>
      <c r="Q2454" s="157"/>
      <c r="R2454" s="215"/>
      <c r="S2454" s="159"/>
      <c r="T2454" s="225"/>
      <c r="U2454" s="161"/>
    </row>
    <row r="2455" spans="1:21" hidden="1" outlineLevel="2">
      <c r="A2455" s="231"/>
      <c r="B2455" s="151"/>
      <c r="C2455" s="151" t="s">
        <v>968</v>
      </c>
      <c r="D2455" s="166"/>
      <c r="E2455" s="164"/>
      <c r="F2455" s="165"/>
      <c r="G2455" s="205">
        <f>CIP!$AR$35</f>
        <v>0</v>
      </c>
      <c r="H2455" s="157"/>
      <c r="I2455" s="157"/>
      <c r="J2455" s="157"/>
      <c r="K2455" s="215">
        <f>CIP!$AV$122</f>
        <v>0</v>
      </c>
      <c r="L2455" s="155">
        <f t="shared" si="198"/>
        <v>0</v>
      </c>
      <c r="M2455" s="156"/>
      <c r="N2455" s="156"/>
      <c r="O2455" s="157"/>
      <c r="P2455" s="157"/>
      <c r="Q2455" s="157"/>
      <c r="R2455" s="215"/>
      <c r="S2455" s="159"/>
      <c r="T2455" s="225"/>
      <c r="U2455" s="161"/>
    </row>
    <row r="2456" spans="1:21" hidden="1" outlineLevel="2">
      <c r="A2456" s="231"/>
      <c r="B2456" s="151"/>
      <c r="C2456" s="151" t="s">
        <v>969</v>
      </c>
      <c r="D2456" s="166"/>
      <c r="E2456" s="164"/>
      <c r="F2456" s="165"/>
      <c r="G2456" s="197"/>
      <c r="H2456" s="157"/>
      <c r="I2456" s="157"/>
      <c r="J2456" s="157"/>
      <c r="K2456" s="215"/>
      <c r="L2456" s="155"/>
      <c r="M2456" s="156"/>
      <c r="N2456" s="156"/>
      <c r="O2456" s="157"/>
      <c r="P2456" s="157"/>
      <c r="Q2456" s="157"/>
      <c r="R2456" s="215"/>
      <c r="S2456" s="159"/>
      <c r="T2456" s="225"/>
      <c r="U2456" s="161"/>
    </row>
    <row r="2457" spans="1:21" hidden="1" outlineLevel="2">
      <c r="A2457" s="231"/>
      <c r="B2457" s="151"/>
      <c r="C2457" s="151" t="s">
        <v>970</v>
      </c>
      <c r="D2457" s="166"/>
      <c r="E2457" s="164"/>
      <c r="F2457" s="165"/>
      <c r="G2457" s="197"/>
      <c r="H2457" s="157"/>
      <c r="I2457" s="157"/>
      <c r="J2457" s="157"/>
      <c r="K2457" s="215"/>
      <c r="L2457" s="155"/>
      <c r="M2457" s="156"/>
      <c r="N2457" s="156"/>
      <c r="O2457" s="157"/>
      <c r="P2457" s="157"/>
      <c r="Q2457" s="157"/>
      <c r="R2457" s="215"/>
      <c r="S2457" s="159"/>
      <c r="T2457" s="225"/>
      <c r="U2457" s="161"/>
    </row>
    <row r="2458" spans="1:21" hidden="1" outlineLevel="1" collapsed="1">
      <c r="A2458" s="231"/>
      <c r="B2458" s="151"/>
      <c r="C2458" s="404" t="s">
        <v>1062</v>
      </c>
      <c r="D2458" s="363"/>
      <c r="E2458" s="164"/>
      <c r="F2458" s="165"/>
      <c r="G2458" s="249">
        <f t="shared" ref="G2458:L2458" si="199">SUM(G2449:G2457)</f>
        <v>0</v>
      </c>
      <c r="H2458" s="244">
        <f t="shared" si="199"/>
        <v>0</v>
      </c>
      <c r="I2458" s="244">
        <f t="shared" si="199"/>
        <v>0</v>
      </c>
      <c r="J2458" s="244">
        <f t="shared" si="199"/>
        <v>0</v>
      </c>
      <c r="K2458" s="255">
        <f t="shared" si="199"/>
        <v>0</v>
      </c>
      <c r="L2458" s="306">
        <f t="shared" si="199"/>
        <v>0</v>
      </c>
      <c r="M2458" s="405">
        <v>1500000</v>
      </c>
      <c r="N2458" s="250">
        <f>M2458*1.23</f>
        <v>1845000</v>
      </c>
      <c r="O2458" s="406">
        <v>1500000</v>
      </c>
      <c r="P2458" s="244">
        <f t="shared" ref="P2458" si="200">O2458*1.46</f>
        <v>2190000</v>
      </c>
      <c r="Q2458" s="406">
        <v>1500000</v>
      </c>
      <c r="R2458" s="255">
        <f t="shared" ref="R2458" si="201">Q2458*1.73</f>
        <v>2595000</v>
      </c>
      <c r="S2458" s="159">
        <f t="shared" si="187"/>
        <v>6630000</v>
      </c>
      <c r="T2458" s="225"/>
      <c r="U2458" s="161"/>
    </row>
    <row r="2459" spans="1:21" hidden="1" outlineLevel="2">
      <c r="A2459" s="231"/>
      <c r="B2459" s="151" t="s">
        <v>829</v>
      </c>
      <c r="C2459" s="151"/>
      <c r="D2459" s="166"/>
      <c r="E2459" s="164"/>
      <c r="F2459" s="165"/>
      <c r="G2459" s="197"/>
      <c r="H2459" s="157"/>
      <c r="I2459" s="157"/>
      <c r="J2459" s="157"/>
      <c r="K2459" s="215"/>
      <c r="L2459" s="155"/>
      <c r="M2459" s="156"/>
      <c r="N2459" s="156"/>
      <c r="O2459" s="157"/>
      <c r="P2459" s="157"/>
      <c r="Q2459" s="157"/>
      <c r="R2459" s="215"/>
      <c r="S2459" s="159"/>
      <c r="T2459" s="225"/>
      <c r="U2459" s="161"/>
    </row>
    <row r="2460" spans="1:21" hidden="1" outlineLevel="2">
      <c r="A2460" s="231"/>
      <c r="B2460" s="151"/>
      <c r="C2460" s="151" t="s">
        <v>1468</v>
      </c>
      <c r="D2460" s="166"/>
      <c r="E2460" s="164"/>
      <c r="F2460" s="165"/>
      <c r="G2460" s="197">
        <f>CIP!$AR$30</f>
        <v>0</v>
      </c>
      <c r="H2460" s="157">
        <f>CIP!$AS$54</f>
        <v>0</v>
      </c>
      <c r="I2460" s="157">
        <f>CIP!$AT$90</f>
        <v>0</v>
      </c>
      <c r="J2460" s="439">
        <f>CIP!$AU$116</f>
        <v>0</v>
      </c>
      <c r="K2460" s="215">
        <f>CIP!$AV$129</f>
        <v>0</v>
      </c>
      <c r="L2460" s="155">
        <f>SUM(G2460:K2460)</f>
        <v>0</v>
      </c>
      <c r="M2460" s="156"/>
      <c r="N2460" s="156"/>
      <c r="O2460" s="157"/>
      <c r="P2460" s="157"/>
      <c r="Q2460" s="157"/>
      <c r="R2460" s="215"/>
      <c r="S2460" s="159"/>
      <c r="T2460" s="225"/>
      <c r="U2460" s="161"/>
    </row>
    <row r="2461" spans="1:21" hidden="1" outlineLevel="2">
      <c r="A2461" s="231"/>
      <c r="B2461" s="151"/>
      <c r="C2461" s="151" t="s">
        <v>971</v>
      </c>
      <c r="D2461" s="166"/>
      <c r="E2461" s="164"/>
      <c r="F2461" s="165"/>
      <c r="G2461" s="197"/>
      <c r="H2461" s="157"/>
      <c r="I2461" s="157"/>
      <c r="J2461" s="157">
        <f>CIP!$AU$117</f>
        <v>0</v>
      </c>
      <c r="K2461" s="215"/>
      <c r="L2461" s="155">
        <f>SUM(G2461:K2461)</f>
        <v>0</v>
      </c>
      <c r="M2461" s="156"/>
      <c r="N2461" s="156"/>
      <c r="O2461" s="157"/>
      <c r="P2461" s="157"/>
      <c r="Q2461" s="157"/>
      <c r="R2461" s="215"/>
      <c r="S2461" s="159"/>
      <c r="T2461" s="225"/>
      <c r="U2461" s="161"/>
    </row>
    <row r="2462" spans="1:21" hidden="1" outlineLevel="1" collapsed="1">
      <c r="A2462" s="231"/>
      <c r="B2462" s="151"/>
      <c r="C2462" s="404" t="s">
        <v>1063</v>
      </c>
      <c r="D2462" s="363"/>
      <c r="E2462" s="164"/>
      <c r="F2462" s="165"/>
      <c r="G2462" s="423">
        <f>SUM(G2460:G2461)</f>
        <v>0</v>
      </c>
      <c r="H2462" s="406">
        <f>SUM(H2459:H2461)</f>
        <v>0</v>
      </c>
      <c r="I2462" s="406">
        <f>SUM(I2460:I2461)</f>
        <v>0</v>
      </c>
      <c r="J2462" s="406">
        <f>SUM(J2460:J2461)</f>
        <v>0</v>
      </c>
      <c r="K2462" s="566">
        <f>SUM(K2460:K2461)</f>
        <v>0</v>
      </c>
      <c r="L2462" s="306">
        <f>SUM(L2460:L2461)</f>
        <v>0</v>
      </c>
      <c r="M2462" s="405">
        <v>750000</v>
      </c>
      <c r="N2462" s="250">
        <f>M2462*1.23</f>
        <v>922500</v>
      </c>
      <c r="O2462" s="406">
        <v>750000</v>
      </c>
      <c r="P2462" s="244">
        <f t="shared" ref="P2462" si="202">O2462*1.46</f>
        <v>1095000</v>
      </c>
      <c r="Q2462" s="406">
        <v>750000</v>
      </c>
      <c r="R2462" s="255">
        <f t="shared" ref="R2462" si="203">Q2462*1.73</f>
        <v>1297500</v>
      </c>
      <c r="S2462" s="159">
        <f t="shared" si="187"/>
        <v>3315000</v>
      </c>
      <c r="T2462" s="225"/>
      <c r="U2462" s="161"/>
    </row>
    <row r="2463" spans="1:21" hidden="1" outlineLevel="2">
      <c r="A2463" s="231"/>
      <c r="B2463" s="151" t="s">
        <v>852</v>
      </c>
      <c r="C2463" s="151"/>
      <c r="D2463" s="166"/>
      <c r="E2463" s="164"/>
      <c r="F2463" s="165"/>
      <c r="G2463" s="197"/>
      <c r="H2463" s="157"/>
      <c r="I2463" s="157"/>
      <c r="J2463" s="157"/>
      <c r="K2463" s="215"/>
      <c r="L2463" s="155"/>
      <c r="M2463" s="156"/>
      <c r="N2463" s="156"/>
      <c r="O2463" s="157"/>
      <c r="P2463" s="157"/>
      <c r="Q2463" s="157"/>
      <c r="R2463" s="215"/>
      <c r="S2463" s="159"/>
      <c r="T2463" s="225"/>
      <c r="U2463" s="161"/>
    </row>
    <row r="2464" spans="1:21" hidden="1" outlineLevel="2">
      <c r="A2464" s="231"/>
      <c r="B2464" s="151"/>
      <c r="C2464" s="151" t="s">
        <v>971</v>
      </c>
      <c r="D2464" s="166"/>
      <c r="E2464" s="164"/>
      <c r="F2464" s="165"/>
      <c r="G2464" s="197">
        <f>CIP!$AR$32</f>
        <v>0</v>
      </c>
      <c r="H2464" s="157"/>
      <c r="I2464" s="157"/>
      <c r="J2464" s="157"/>
      <c r="K2464" s="215"/>
      <c r="L2464" s="155">
        <v>120000</v>
      </c>
      <c r="M2464" s="156"/>
      <c r="N2464" s="156"/>
      <c r="O2464" s="157"/>
      <c r="P2464" s="157"/>
      <c r="Q2464" s="157"/>
      <c r="R2464" s="215"/>
      <c r="S2464" s="159"/>
      <c r="T2464" s="225"/>
      <c r="U2464" s="161"/>
    </row>
    <row r="2465" spans="1:21" hidden="1" outlineLevel="2">
      <c r="A2465" s="231"/>
      <c r="B2465" s="171"/>
      <c r="C2465" s="404" t="s">
        <v>1100</v>
      </c>
      <c r="D2465" s="166"/>
      <c r="E2465" s="164"/>
      <c r="F2465" s="165"/>
      <c r="G2465" s="197">
        <f>CIP!$AR$33</f>
        <v>0</v>
      </c>
      <c r="H2465" s="157"/>
      <c r="I2465" s="157"/>
      <c r="J2465" s="157"/>
      <c r="K2465" s="215"/>
      <c r="L2465" s="155">
        <f>SUM(G2465:K2465)</f>
        <v>0</v>
      </c>
      <c r="M2465" s="156"/>
      <c r="N2465" s="156"/>
      <c r="O2465" s="157"/>
      <c r="P2465" s="157"/>
      <c r="Q2465" s="157"/>
      <c r="R2465" s="215"/>
      <c r="S2465" s="159"/>
      <c r="T2465" s="225"/>
      <c r="U2465" s="161"/>
    </row>
    <row r="2466" spans="1:21" hidden="1" outlineLevel="2">
      <c r="A2466" s="231"/>
      <c r="B2466" s="171"/>
      <c r="C2466" s="151" t="s">
        <v>972</v>
      </c>
      <c r="D2466" s="166"/>
      <c r="E2466" s="164"/>
      <c r="F2466" s="165"/>
      <c r="G2466" s="197"/>
      <c r="H2466" s="157">
        <f>CIP!$AS$60</f>
        <v>0</v>
      </c>
      <c r="I2466" s="157"/>
      <c r="J2466" s="157"/>
      <c r="K2466" s="215"/>
      <c r="L2466" s="155">
        <f>SUM(G2466:K2466)</f>
        <v>0</v>
      </c>
      <c r="M2466" s="156"/>
      <c r="N2466" s="156"/>
      <c r="O2466" s="157"/>
      <c r="P2466" s="157"/>
      <c r="Q2466" s="157"/>
      <c r="R2466" s="215"/>
      <c r="S2466" s="159"/>
      <c r="T2466" s="225"/>
      <c r="U2466" s="161"/>
    </row>
    <row r="2467" spans="1:21" hidden="1" outlineLevel="2">
      <c r="A2467" s="231"/>
      <c r="B2467" s="171"/>
      <c r="C2467" s="151" t="s">
        <v>973</v>
      </c>
      <c r="D2467" s="166"/>
      <c r="E2467" s="164"/>
      <c r="F2467" s="165"/>
      <c r="G2467" s="197"/>
      <c r="H2467" s="157"/>
      <c r="I2467" s="157">
        <f>CIP!$AT$89</f>
        <v>0</v>
      </c>
      <c r="J2467" s="157"/>
      <c r="K2467" s="215"/>
      <c r="L2467" s="155">
        <f>SUM(G2467:K2467)</f>
        <v>0</v>
      </c>
      <c r="M2467" s="156"/>
      <c r="N2467" s="156"/>
      <c r="O2467" s="157"/>
      <c r="P2467" s="157"/>
      <c r="Q2467" s="157"/>
      <c r="R2467" s="215"/>
      <c r="S2467" s="159"/>
      <c r="T2467" s="225"/>
      <c r="U2467" s="161"/>
    </row>
    <row r="2468" spans="1:21" hidden="1" outlineLevel="2">
      <c r="A2468" s="231"/>
      <c r="B2468" s="171"/>
      <c r="C2468" s="151" t="s">
        <v>1323</v>
      </c>
      <c r="D2468" s="166"/>
      <c r="E2468" s="164"/>
      <c r="F2468" s="165"/>
      <c r="G2468" s="197"/>
      <c r="H2468" s="157"/>
      <c r="I2468" s="157"/>
      <c r="J2468" s="157"/>
      <c r="K2468" s="215">
        <f>CIP!$AV$141</f>
        <v>0</v>
      </c>
      <c r="L2468" s="155">
        <f>SUM(G2468:K2468)</f>
        <v>0</v>
      </c>
      <c r="M2468" s="156"/>
      <c r="N2468" s="156"/>
      <c r="O2468" s="157"/>
      <c r="P2468" s="157"/>
      <c r="Q2468" s="157"/>
      <c r="R2468" s="215"/>
      <c r="S2468" s="159"/>
      <c r="T2468" s="225"/>
      <c r="U2468" s="161"/>
    </row>
    <row r="2469" spans="1:21" hidden="1" outlineLevel="1" collapsed="1">
      <c r="A2469" s="231"/>
      <c r="B2469" s="171"/>
      <c r="C2469" s="404" t="s">
        <v>1064</v>
      </c>
      <c r="D2469" s="363"/>
      <c r="E2469" s="164"/>
      <c r="F2469" s="165"/>
      <c r="G2469" s="249">
        <f>SUM(G2464:G2468)</f>
        <v>0</v>
      </c>
      <c r="H2469" s="244">
        <f>SUM(H2464:H2468)</f>
        <v>0</v>
      </c>
      <c r="I2469" s="244">
        <f>SUM(I2464:I2468)</f>
        <v>0</v>
      </c>
      <c r="J2469" s="244"/>
      <c r="K2469" s="255">
        <f>SUM(K2464:K2468)</f>
        <v>0</v>
      </c>
      <c r="L2469" s="159">
        <f>SUM(L2464:L2468)</f>
        <v>120000</v>
      </c>
      <c r="M2469" s="405">
        <v>750000</v>
      </c>
      <c r="N2469" s="250">
        <f>M2469*1.23</f>
        <v>922500</v>
      </c>
      <c r="O2469" s="406">
        <v>750000</v>
      </c>
      <c r="P2469" s="244">
        <f t="shared" ref="P2469:P2473" si="204">O2469*1.46</f>
        <v>1095000</v>
      </c>
      <c r="Q2469" s="406">
        <v>750000</v>
      </c>
      <c r="R2469" s="255">
        <f t="shared" ref="R2469:R2470" si="205">Q2469*1.73</f>
        <v>1297500</v>
      </c>
      <c r="S2469" s="159">
        <f t="shared" si="187"/>
        <v>3435000</v>
      </c>
      <c r="T2469" s="225"/>
      <c r="U2469" s="161"/>
    </row>
    <row r="2470" spans="1:21" ht="16.5" customHeight="1" collapsed="1">
      <c r="A2470" s="231"/>
      <c r="B2470" s="171"/>
      <c r="C2470" s="198" t="s">
        <v>673</v>
      </c>
      <c r="D2470" s="395"/>
      <c r="E2470" s="157"/>
      <c r="F2470" s="158"/>
      <c r="G2470" s="249">
        <f>SUM(G2458,G2462,G2469)</f>
        <v>0</v>
      </c>
      <c r="H2470" s="244">
        <f>SUM(H2458,H2462,H2469)</f>
        <v>0</v>
      </c>
      <c r="I2470" s="244">
        <f>SUM(I2458,I2462,I2469)</f>
        <v>0</v>
      </c>
      <c r="J2470" s="244">
        <f>SUM(J2458,J2462,J2469)</f>
        <v>0</v>
      </c>
      <c r="K2470" s="255">
        <f>SUM(K2458,K2462,K2469)</f>
        <v>0</v>
      </c>
      <c r="L2470" s="159">
        <f>SUM(G2470:K2470)</f>
        <v>0</v>
      </c>
      <c r="M2470" s="250">
        <f>SUM(M2448:M2469)</f>
        <v>3000000</v>
      </c>
      <c r="N2470" s="250">
        <f>M2470*1.23</f>
        <v>3690000</v>
      </c>
      <c r="O2470" s="244">
        <f>SUM(O2448:O2469)</f>
        <v>3000000</v>
      </c>
      <c r="P2470" s="244">
        <f t="shared" si="204"/>
        <v>4380000</v>
      </c>
      <c r="Q2470" s="244">
        <f>SUM(Q2448:Q2469)</f>
        <v>3000000</v>
      </c>
      <c r="R2470" s="255">
        <f t="shared" si="205"/>
        <v>5190000</v>
      </c>
      <c r="S2470" s="159">
        <f t="shared" si="187"/>
        <v>13260000</v>
      </c>
      <c r="T2470" s="225"/>
      <c r="U2470" s="161"/>
    </row>
    <row r="2471" spans="1:21" ht="15.75" hidden="1" outlineLevel="1">
      <c r="A2471" s="229" t="s">
        <v>593</v>
      </c>
      <c r="B2471" s="163"/>
      <c r="C2471" s="289"/>
      <c r="D2471" s="353"/>
      <c r="E2471" s="164"/>
      <c r="F2471" s="165"/>
      <c r="G2471" s="197"/>
      <c r="H2471" s="157"/>
      <c r="I2471" s="157"/>
      <c r="J2471" s="157"/>
      <c r="K2471" s="215"/>
      <c r="L2471" s="155"/>
      <c r="M2471" s="156"/>
      <c r="N2471" s="156"/>
      <c r="O2471" s="157"/>
      <c r="P2471" s="157"/>
      <c r="Q2471" s="157"/>
      <c r="R2471" s="215"/>
      <c r="S2471" s="159"/>
      <c r="T2471" s="225"/>
      <c r="U2471" s="161"/>
    </row>
    <row r="2472" spans="1:21" ht="15.75" hidden="1" outlineLevel="1">
      <c r="A2472" s="231"/>
      <c r="B2472" s="152"/>
      <c r="C2472" s="151" t="s">
        <v>443</v>
      </c>
      <c r="D2472" s="166"/>
      <c r="E2472" s="164"/>
      <c r="F2472" s="165"/>
      <c r="G2472" s="197"/>
      <c r="H2472" s="157"/>
      <c r="I2472" s="157">
        <f>CIP!$AT$88</f>
        <v>0</v>
      </c>
      <c r="J2472" s="157"/>
      <c r="K2472" s="215"/>
      <c r="L2472" s="155">
        <f>SUM(G2472:K2472)</f>
        <v>0</v>
      </c>
      <c r="M2472" s="156"/>
      <c r="N2472" s="156"/>
      <c r="O2472" s="157">
        <v>165000</v>
      </c>
      <c r="P2472" s="244">
        <f t="shared" si="204"/>
        <v>240900</v>
      </c>
      <c r="Q2472" s="157"/>
      <c r="R2472" s="215"/>
      <c r="S2472" s="159">
        <f t="shared" si="187"/>
        <v>240900</v>
      </c>
      <c r="T2472" s="225"/>
      <c r="U2472" s="161" t="s">
        <v>974</v>
      </c>
    </row>
    <row r="2473" spans="1:21" ht="15.75" hidden="1" outlineLevel="1">
      <c r="A2473" s="231"/>
      <c r="B2473" s="152"/>
      <c r="C2473" s="151" t="s">
        <v>444</v>
      </c>
      <c r="D2473" s="166"/>
      <c r="E2473" s="164"/>
      <c r="F2473" s="165"/>
      <c r="G2473" s="197"/>
      <c r="H2473" s="157"/>
      <c r="I2473" s="157"/>
      <c r="J2473" s="157"/>
      <c r="K2473" s="215"/>
      <c r="L2473" s="155"/>
      <c r="M2473" s="156"/>
      <c r="N2473" s="156"/>
      <c r="O2473" s="157">
        <v>240000</v>
      </c>
      <c r="P2473" s="244">
        <f t="shared" si="204"/>
        <v>350400</v>
      </c>
      <c r="Q2473" s="157"/>
      <c r="R2473" s="215"/>
      <c r="S2473" s="159">
        <f t="shared" si="187"/>
        <v>350400</v>
      </c>
      <c r="T2473" s="225"/>
      <c r="U2473" s="161" t="s">
        <v>974</v>
      </c>
    </row>
    <row r="2474" spans="1:21" ht="15.75" hidden="1" outlineLevel="1">
      <c r="A2474" s="231"/>
      <c r="B2474" s="152"/>
      <c r="C2474" s="151" t="s">
        <v>975</v>
      </c>
      <c r="D2474" s="166"/>
      <c r="E2474" s="164"/>
      <c r="F2474" s="165"/>
      <c r="G2474" s="197"/>
      <c r="H2474" s="157"/>
      <c r="I2474" s="157"/>
      <c r="J2474" s="157"/>
      <c r="K2474" s="215"/>
      <c r="L2474" s="155"/>
      <c r="M2474" s="156">
        <v>95000</v>
      </c>
      <c r="N2474" s="250">
        <f t="shared" ref="N2474:N2476" si="206">M2474*1.23</f>
        <v>116850</v>
      </c>
      <c r="O2474" s="157"/>
      <c r="P2474" s="157"/>
      <c r="Q2474" s="157">
        <v>95000</v>
      </c>
      <c r="R2474" s="255">
        <f t="shared" ref="R2474" si="207">Q2474*1.73</f>
        <v>164350</v>
      </c>
      <c r="S2474" s="159">
        <f t="shared" si="187"/>
        <v>281200</v>
      </c>
      <c r="T2474" s="225"/>
      <c r="U2474" s="161" t="s">
        <v>974</v>
      </c>
    </row>
    <row r="2475" spans="1:21" ht="15.75" hidden="1" outlineLevel="1">
      <c r="A2475" s="231"/>
      <c r="B2475" s="152"/>
      <c r="C2475" s="151" t="s">
        <v>976</v>
      </c>
      <c r="D2475" s="166"/>
      <c r="E2475" s="164"/>
      <c r="F2475" s="165"/>
      <c r="G2475" s="197"/>
      <c r="H2475" s="157"/>
      <c r="I2475" s="157"/>
      <c r="J2475" s="157"/>
      <c r="K2475" s="215"/>
      <c r="L2475" s="155"/>
      <c r="M2475" s="199">
        <v>88000</v>
      </c>
      <c r="N2475" s="250">
        <f t="shared" si="206"/>
        <v>108240</v>
      </c>
      <c r="O2475" s="157"/>
      <c r="P2475" s="157"/>
      <c r="Q2475" s="619"/>
      <c r="R2475" s="620"/>
      <c r="S2475" s="159">
        <f t="shared" si="187"/>
        <v>108240</v>
      </c>
      <c r="T2475" s="225"/>
      <c r="U2475" s="161"/>
    </row>
    <row r="2476" spans="1:21" ht="16.5" customHeight="1" collapsed="1">
      <c r="A2476" s="231"/>
      <c r="B2476" s="152"/>
      <c r="C2476" s="151" t="s">
        <v>977</v>
      </c>
      <c r="D2476" s="360"/>
      <c r="E2476" s="164"/>
      <c r="F2476" s="165"/>
      <c r="G2476" s="249"/>
      <c r="H2476" s="244"/>
      <c r="I2476" s="244">
        <f>SUM(I2472:I2475)</f>
        <v>0</v>
      </c>
      <c r="J2476" s="244"/>
      <c r="K2476" s="255"/>
      <c r="L2476" s="159">
        <f>SUM(L2472:L2475)</f>
        <v>0</v>
      </c>
      <c r="M2476" s="250">
        <f>SUM(M2472:M2475)</f>
        <v>183000</v>
      </c>
      <c r="N2476" s="250">
        <f t="shared" si="206"/>
        <v>225090</v>
      </c>
      <c r="O2476" s="244">
        <f>SUM(O2472:O2475)</f>
        <v>405000</v>
      </c>
      <c r="P2476" s="244">
        <f t="shared" ref="P2476" si="208">O2476*1.46</f>
        <v>591300</v>
      </c>
      <c r="Q2476" s="244">
        <f>SUM(Q2472:Q2475)</f>
        <v>95000</v>
      </c>
      <c r="R2476" s="255">
        <f t="shared" ref="R2476" si="209">Q2476*1.73</f>
        <v>164350</v>
      </c>
      <c r="S2476" s="159">
        <f t="shared" si="187"/>
        <v>980740</v>
      </c>
      <c r="T2476" s="225"/>
      <c r="U2476" s="161"/>
    </row>
    <row r="2477" spans="1:21" ht="16.5" customHeight="1">
      <c r="A2477" s="231"/>
      <c r="B2477" s="163"/>
      <c r="C2477" s="333" t="s">
        <v>980</v>
      </c>
      <c r="D2477" s="348"/>
      <c r="E2477" s="164"/>
      <c r="F2477" s="165"/>
      <c r="G2477" s="249">
        <f t="shared" ref="G2477:M2477" si="210">SUM(G2446,G2470,G2476)</f>
        <v>0</v>
      </c>
      <c r="H2477" s="244">
        <f t="shared" si="210"/>
        <v>0</v>
      </c>
      <c r="I2477" s="244">
        <f t="shared" si="210"/>
        <v>0</v>
      </c>
      <c r="J2477" s="244">
        <f t="shared" si="210"/>
        <v>0</v>
      </c>
      <c r="K2477" s="255">
        <f t="shared" si="210"/>
        <v>0</v>
      </c>
      <c r="L2477" s="249">
        <f t="shared" si="210"/>
        <v>0</v>
      </c>
      <c r="M2477" s="249">
        <f t="shared" si="210"/>
        <v>6313000</v>
      </c>
      <c r="N2477" s="249">
        <f t="shared" ref="N2477:S2477" si="211">SUM(N2446,N2470,N2476)</f>
        <v>7764990</v>
      </c>
      <c r="O2477" s="244">
        <f t="shared" si="211"/>
        <v>5805000</v>
      </c>
      <c r="P2477" s="244">
        <f t="shared" si="211"/>
        <v>8475300</v>
      </c>
      <c r="Q2477" s="244">
        <f t="shared" si="211"/>
        <v>6895000</v>
      </c>
      <c r="R2477" s="255">
        <f t="shared" si="211"/>
        <v>11928350</v>
      </c>
      <c r="S2477" s="159">
        <f t="shared" si="211"/>
        <v>28168640</v>
      </c>
      <c r="T2477" s="315"/>
      <c r="U2477" s="161"/>
    </row>
    <row r="2478" spans="1:21" ht="12.75" customHeight="1">
      <c r="A2478" s="316"/>
      <c r="B2478" s="317"/>
      <c r="C2478" s="627"/>
      <c r="D2478" s="628"/>
      <c r="E2478" s="191"/>
      <c r="F2478" s="192"/>
      <c r="G2478" s="629"/>
      <c r="H2478" s="630"/>
      <c r="I2478" s="630"/>
      <c r="J2478" s="630"/>
      <c r="K2478" s="631"/>
      <c r="L2478" s="159"/>
      <c r="M2478" s="632"/>
      <c r="N2478" s="632"/>
      <c r="O2478" s="630"/>
      <c r="P2478" s="630"/>
      <c r="Q2478" s="630"/>
      <c r="R2478" s="631"/>
      <c r="S2478" s="159"/>
      <c r="T2478" s="633"/>
      <c r="U2478" s="634"/>
    </row>
    <row r="2479" spans="1:21" s="286" customFormat="1" ht="16.5" customHeight="1">
      <c r="A2479" s="138" t="s">
        <v>1480</v>
      </c>
      <c r="B2479" s="140"/>
      <c r="C2479" s="140"/>
      <c r="D2479" s="574"/>
      <c r="E2479" s="575"/>
      <c r="F2479" s="576"/>
      <c r="G2479" s="577"/>
      <c r="H2479" s="575"/>
      <c r="I2479" s="575"/>
      <c r="J2479" s="575"/>
      <c r="K2479" s="576"/>
      <c r="L2479" s="578"/>
      <c r="M2479" s="579"/>
      <c r="N2479" s="580"/>
      <c r="O2479" s="581"/>
      <c r="P2479" s="576"/>
      <c r="Q2479" s="582"/>
      <c r="R2479" s="576"/>
      <c r="S2479" s="578"/>
      <c r="T2479" s="578"/>
      <c r="U2479" s="580"/>
    </row>
    <row r="2480" spans="1:21" hidden="1" outlineLevel="1">
      <c r="A2480" s="312" t="s">
        <v>978</v>
      </c>
      <c r="B2480" s="163"/>
      <c r="C2480" s="151"/>
      <c r="D2480" s="360"/>
      <c r="E2480" s="164"/>
      <c r="F2480" s="165"/>
      <c r="G2480" s="197"/>
      <c r="H2480" s="157"/>
      <c r="I2480" s="157"/>
      <c r="J2480" s="157"/>
      <c r="K2480" s="215"/>
      <c r="L2480" s="155"/>
      <c r="M2480" s="156"/>
      <c r="N2480" s="156"/>
      <c r="O2480" s="157"/>
      <c r="P2480" s="158"/>
      <c r="Q2480" s="158"/>
      <c r="R2480" s="259"/>
      <c r="S2480" s="159"/>
      <c r="T2480" s="225"/>
      <c r="U2480" s="161"/>
    </row>
    <row r="2481" spans="1:21" hidden="1" outlineLevel="1">
      <c r="A2481" s="312"/>
      <c r="B2481" s="163"/>
      <c r="C2481" s="151" t="s">
        <v>979</v>
      </c>
      <c r="D2481" s="360"/>
      <c r="E2481" s="164"/>
      <c r="F2481" s="165"/>
      <c r="G2481" s="197">
        <f>CIP!$AR$25</f>
        <v>0</v>
      </c>
      <c r="H2481" s="157">
        <f>CIP!$AS$25</f>
        <v>517499.99999999994</v>
      </c>
      <c r="I2481" s="157">
        <f>CIP!$AT$25</f>
        <v>321367.49999999994</v>
      </c>
      <c r="J2481" s="157">
        <f>CIP!$AU$25</f>
        <v>332615.36249999993</v>
      </c>
      <c r="K2481" s="215">
        <f>CIP!$AV$25</f>
        <v>0</v>
      </c>
      <c r="L2481" s="155">
        <f>SUM(G2481:K2481)</f>
        <v>1171482.8624999998</v>
      </c>
      <c r="M2481" s="156">
        <v>1000000</v>
      </c>
      <c r="N2481" s="250">
        <f t="shared" ref="N2481:N2482" si="212">M2481*1.23</f>
        <v>1230000</v>
      </c>
      <c r="O2481" s="156">
        <v>1000000</v>
      </c>
      <c r="P2481" s="248">
        <f t="shared" ref="P2481" si="213">O2481*1.46</f>
        <v>1460000</v>
      </c>
      <c r="Q2481" s="156">
        <v>1000000</v>
      </c>
      <c r="R2481" s="255">
        <f t="shared" ref="R2481:R2482" si="214">Q2481*1.73</f>
        <v>1730000</v>
      </c>
      <c r="S2481" s="159">
        <f t="shared" ref="S2481:S2483" si="215">SUM(L2481,N2481,P2481,R2481)</f>
        <v>5591482.8624999998</v>
      </c>
      <c r="T2481" s="225"/>
      <c r="U2481" s="161"/>
    </row>
    <row r="2482" spans="1:21" hidden="1" outlineLevel="1">
      <c r="A2482" s="312"/>
      <c r="B2482" s="163"/>
      <c r="C2482" s="151" t="s">
        <v>1324</v>
      </c>
      <c r="D2482" s="360"/>
      <c r="E2482" s="164"/>
      <c r="F2482" s="165"/>
      <c r="G2482" s="197"/>
      <c r="H2482" s="157"/>
      <c r="I2482" s="157"/>
      <c r="J2482" s="157"/>
      <c r="K2482" s="215"/>
      <c r="L2482" s="155"/>
      <c r="M2482" s="157">
        <v>210000</v>
      </c>
      <c r="N2482" s="250">
        <f t="shared" si="212"/>
        <v>258300</v>
      </c>
      <c r="O2482" s="157"/>
      <c r="P2482" s="158"/>
      <c r="Q2482" s="158">
        <v>210000</v>
      </c>
      <c r="R2482" s="255">
        <f t="shared" si="214"/>
        <v>363300</v>
      </c>
      <c r="S2482" s="159">
        <f t="shared" si="215"/>
        <v>621600</v>
      </c>
      <c r="T2482" s="225"/>
      <c r="U2482" s="161"/>
    </row>
    <row r="2483" spans="1:21" ht="16.5" customHeight="1" collapsed="1">
      <c r="A2483" s="312"/>
      <c r="B2483" s="163"/>
      <c r="C2483" s="626" t="s">
        <v>1481</v>
      </c>
      <c r="D2483" s="351"/>
      <c r="E2483" s="164"/>
      <c r="F2483" s="165"/>
      <c r="G2483" s="249">
        <f>CIP!$AR$25</f>
        <v>0</v>
      </c>
      <c r="H2483" s="244">
        <f>CIP!$AS$25</f>
        <v>517499.99999999994</v>
      </c>
      <c r="I2483" s="244">
        <f>CIP!$AT$25</f>
        <v>321367.49999999994</v>
      </c>
      <c r="J2483" s="244">
        <f>CIP!$AU$25</f>
        <v>332615.36249999993</v>
      </c>
      <c r="K2483" s="255">
        <f>CIP!$AV$25</f>
        <v>0</v>
      </c>
      <c r="L2483" s="159">
        <f>SUM(L2481)</f>
        <v>1171482.8624999998</v>
      </c>
      <c r="M2483" s="156">
        <f t="shared" ref="M2483:R2483" si="216">SUM(M2481:M2482)</f>
        <v>1210000</v>
      </c>
      <c r="N2483" s="250">
        <f t="shared" si="216"/>
        <v>1488300</v>
      </c>
      <c r="O2483" s="156">
        <f t="shared" si="216"/>
        <v>1000000</v>
      </c>
      <c r="P2483" s="248">
        <f t="shared" si="216"/>
        <v>1460000</v>
      </c>
      <c r="Q2483" s="156">
        <f t="shared" si="216"/>
        <v>1210000</v>
      </c>
      <c r="R2483" s="255">
        <f t="shared" si="216"/>
        <v>2093300</v>
      </c>
      <c r="S2483" s="159">
        <f t="shared" si="215"/>
        <v>6213082.8624999998</v>
      </c>
      <c r="T2483" s="225"/>
      <c r="U2483" s="161"/>
    </row>
    <row r="2484" spans="1:21" ht="12.75" customHeight="1">
      <c r="A2484" s="316"/>
      <c r="B2484" s="317"/>
      <c r="C2484" s="317"/>
      <c r="D2484" s="319"/>
      <c r="E2484" s="318"/>
      <c r="F2484" s="190"/>
      <c r="G2484" s="567"/>
      <c r="H2484" s="568"/>
      <c r="I2484" s="568"/>
      <c r="J2484" s="568"/>
      <c r="K2484" s="569"/>
      <c r="L2484" s="193"/>
      <c r="M2484" s="194"/>
      <c r="N2484" s="621"/>
      <c r="O2484" s="622"/>
      <c r="P2484" s="622"/>
      <c r="Q2484" s="622"/>
      <c r="R2484" s="623"/>
      <c r="S2484" s="195"/>
      <c r="T2484" s="320"/>
      <c r="U2484" s="224"/>
    </row>
    <row r="2485" spans="1:21" s="328" customFormat="1" ht="18.75">
      <c r="A2485" s="321"/>
      <c r="B2485" s="322"/>
      <c r="C2485" s="334" t="s">
        <v>981</v>
      </c>
      <c r="D2485" s="364"/>
      <c r="E2485" s="323"/>
      <c r="F2485" s="324"/>
      <c r="G2485" s="473" t="e">
        <f t="shared" ref="G2485:L2485" si="217">SUM(G1799,G1949,G2050,G2072,G2091,G2426,G2477,G2483)</f>
        <v>#REF!</v>
      </c>
      <c r="H2485" s="473" t="e">
        <f t="shared" si="217"/>
        <v>#REF!</v>
      </c>
      <c r="I2485" s="473" t="e">
        <f t="shared" si="217"/>
        <v>#REF!</v>
      </c>
      <c r="J2485" s="473" t="e">
        <f t="shared" si="217"/>
        <v>#REF!</v>
      </c>
      <c r="K2485" s="473" t="e">
        <f t="shared" si="217"/>
        <v>#REF!</v>
      </c>
      <c r="L2485" s="473" t="e">
        <f t="shared" si="217"/>
        <v>#REF!</v>
      </c>
      <c r="M2485" s="624" t="e">
        <f>SUM(#REF!,M1799,M1949,M2050,M2072,M2091,M2426,M2477)</f>
        <v>#REF!</v>
      </c>
      <c r="N2485" s="473">
        <f>SUM(N1799,N1949,N2050,N2072,N2091,N2426,N2477,N2483)</f>
        <v>264626088.03</v>
      </c>
      <c r="O2485" s="325" t="e">
        <f>SUM(#REF!,O1799,O1949,O2050,O2072,O2091,O2426,O2477)</f>
        <v>#REF!</v>
      </c>
      <c r="P2485" s="473">
        <f>SUM(P1799,P1949,P2050,P2072,P2091,P2426,P2477,P2483)</f>
        <v>242120844.69999999</v>
      </c>
      <c r="Q2485" s="325" t="e">
        <f>SUM(#REF!,Q1799,Q1949,Q2050,Q2072,Q2091,Q2426,Q2477)</f>
        <v>#REF!</v>
      </c>
      <c r="R2485" s="473">
        <f>SUM(R1799,R1949,R2050,R2072,R2091,R2426,R2477,R2483)</f>
        <v>303758590</v>
      </c>
      <c r="S2485" s="325" t="e">
        <f>SUM(S1799,S1949,S2050,S2072,S2091,S2426,S2477,S2483)</f>
        <v>#REF!</v>
      </c>
      <c r="T2485" s="326"/>
      <c r="U2485" s="327"/>
    </row>
    <row r="2486" spans="1:21">
      <c r="A2486" s="136"/>
    </row>
    <row r="2487" spans="1:21">
      <c r="A2487" s="136"/>
      <c r="S2487"/>
      <c r="T2487"/>
      <c r="U2487"/>
    </row>
    <row r="2488" spans="1:21">
      <c r="A2488" s="136"/>
      <c r="S2488"/>
      <c r="T2488"/>
      <c r="U2488"/>
    </row>
    <row r="2489" spans="1:21">
      <c r="A2489" s="136"/>
      <c r="S2489"/>
      <c r="T2489"/>
      <c r="U2489"/>
    </row>
    <row r="2490" spans="1:21">
      <c r="A2490" s="136"/>
      <c r="S2490"/>
      <c r="T2490"/>
      <c r="U2490"/>
    </row>
    <row r="2491" spans="1:21">
      <c r="A2491" s="136"/>
      <c r="S2491"/>
      <c r="T2491"/>
      <c r="U2491"/>
    </row>
    <row r="2492" spans="1:21">
      <c r="A2492" s="136"/>
      <c r="S2492"/>
      <c r="T2492"/>
      <c r="U2492"/>
    </row>
    <row r="2493" spans="1:21">
      <c r="A2493" s="136"/>
      <c r="S2493"/>
      <c r="T2493"/>
      <c r="U2493"/>
    </row>
    <row r="2494" spans="1:21">
      <c r="A2494" s="136"/>
      <c r="S2494"/>
      <c r="T2494"/>
      <c r="U2494"/>
    </row>
    <row r="2495" spans="1:21">
      <c r="A2495" s="136"/>
      <c r="S2495"/>
      <c r="T2495"/>
      <c r="U2495"/>
    </row>
    <row r="2496" spans="1:21">
      <c r="A2496" s="136"/>
      <c r="S2496"/>
      <c r="T2496"/>
      <c r="U2496"/>
    </row>
    <row r="2497" spans="1:21">
      <c r="A2497" s="136"/>
      <c r="S2497"/>
      <c r="T2497"/>
      <c r="U2497"/>
    </row>
    <row r="2498" spans="1:21">
      <c r="A2498" s="136"/>
      <c r="S2498"/>
      <c r="T2498"/>
      <c r="U2498"/>
    </row>
    <row r="2499" spans="1:21">
      <c r="A2499" s="136"/>
      <c r="S2499"/>
      <c r="T2499"/>
      <c r="U2499"/>
    </row>
    <row r="2500" spans="1:21">
      <c r="A2500" s="136"/>
      <c r="S2500"/>
      <c r="T2500"/>
      <c r="U2500"/>
    </row>
    <row r="2501" spans="1:21">
      <c r="A2501" s="136"/>
      <c r="S2501"/>
      <c r="T2501"/>
      <c r="U2501"/>
    </row>
    <row r="2502" spans="1:21">
      <c r="A2502" s="136"/>
      <c r="S2502"/>
      <c r="T2502"/>
      <c r="U2502"/>
    </row>
    <row r="2503" spans="1:21">
      <c r="A2503" s="136"/>
      <c r="S2503"/>
      <c r="T2503"/>
      <c r="U2503"/>
    </row>
    <row r="2504" spans="1:21">
      <c r="A2504" s="136"/>
      <c r="S2504"/>
      <c r="T2504"/>
      <c r="U2504"/>
    </row>
    <row r="2505" spans="1:21">
      <c r="A2505" s="136"/>
      <c r="S2505"/>
      <c r="T2505"/>
      <c r="U2505"/>
    </row>
    <row r="2506" spans="1:21">
      <c r="A2506" s="136"/>
      <c r="S2506"/>
      <c r="T2506"/>
      <c r="U2506"/>
    </row>
    <row r="2507" spans="1:21">
      <c r="A2507" s="136"/>
      <c r="S2507"/>
      <c r="T2507"/>
      <c r="U2507"/>
    </row>
    <row r="2508" spans="1:21">
      <c r="A2508" s="136"/>
      <c r="S2508"/>
      <c r="T2508"/>
      <c r="U2508"/>
    </row>
    <row r="2509" spans="1:21">
      <c r="A2509" s="136"/>
      <c r="S2509"/>
      <c r="T2509"/>
      <c r="U2509"/>
    </row>
    <row r="2510" spans="1:21">
      <c r="A2510" s="136"/>
      <c r="S2510"/>
      <c r="T2510"/>
      <c r="U2510"/>
    </row>
    <row r="2511" spans="1:21">
      <c r="A2511" s="136"/>
      <c r="S2511"/>
      <c r="T2511"/>
      <c r="U2511"/>
    </row>
    <row r="2512" spans="1:21">
      <c r="A2512" s="136"/>
      <c r="S2512"/>
      <c r="T2512"/>
      <c r="U2512"/>
    </row>
    <row r="2513" spans="1:21">
      <c r="A2513" s="136"/>
      <c r="S2513"/>
      <c r="T2513"/>
      <c r="U2513"/>
    </row>
    <row r="2514" spans="1:21">
      <c r="A2514" s="136"/>
      <c r="S2514"/>
      <c r="T2514"/>
      <c r="U2514"/>
    </row>
    <row r="2515" spans="1:21">
      <c r="A2515" s="136"/>
      <c r="S2515"/>
      <c r="T2515"/>
      <c r="U2515"/>
    </row>
    <row r="2516" spans="1:21">
      <c r="A2516" s="136"/>
      <c r="S2516"/>
      <c r="T2516"/>
      <c r="U2516"/>
    </row>
    <row r="2517" spans="1:21">
      <c r="A2517" s="136"/>
      <c r="S2517"/>
      <c r="T2517"/>
      <c r="U2517"/>
    </row>
    <row r="2518" spans="1:21">
      <c r="A2518" s="136"/>
      <c r="S2518"/>
      <c r="T2518"/>
      <c r="U2518"/>
    </row>
    <row r="2519" spans="1:21">
      <c r="A2519" s="136"/>
      <c r="S2519"/>
      <c r="T2519"/>
      <c r="U2519"/>
    </row>
    <row r="2520" spans="1:21">
      <c r="A2520" s="136"/>
      <c r="S2520"/>
      <c r="T2520"/>
      <c r="U2520"/>
    </row>
    <row r="2521" spans="1:21">
      <c r="A2521" s="136"/>
      <c r="S2521"/>
      <c r="T2521"/>
      <c r="U2521"/>
    </row>
    <row r="2522" spans="1:21">
      <c r="A2522" s="136"/>
      <c r="S2522"/>
      <c r="T2522"/>
      <c r="U2522"/>
    </row>
    <row r="2523" spans="1:21">
      <c r="A2523" s="136"/>
      <c r="S2523"/>
      <c r="T2523"/>
      <c r="U2523"/>
    </row>
    <row r="2524" spans="1:21">
      <c r="A2524" s="136"/>
      <c r="S2524"/>
      <c r="T2524"/>
      <c r="U2524"/>
    </row>
    <row r="2525" spans="1:21">
      <c r="A2525" s="136"/>
      <c r="S2525"/>
      <c r="T2525"/>
      <c r="U2525"/>
    </row>
    <row r="2526" spans="1:21">
      <c r="A2526" s="136"/>
      <c r="S2526"/>
      <c r="T2526"/>
      <c r="U2526"/>
    </row>
    <row r="2527" spans="1:21">
      <c r="A2527" s="136"/>
      <c r="S2527"/>
      <c r="T2527"/>
      <c r="U2527"/>
    </row>
    <row r="2528" spans="1:21">
      <c r="A2528" s="136"/>
      <c r="S2528"/>
      <c r="T2528"/>
      <c r="U2528"/>
    </row>
    <row r="2529" spans="1:21">
      <c r="A2529" s="136"/>
      <c r="S2529"/>
      <c r="T2529"/>
      <c r="U2529"/>
    </row>
    <row r="2530" spans="1:21">
      <c r="A2530" s="136"/>
      <c r="S2530"/>
      <c r="T2530"/>
      <c r="U2530"/>
    </row>
    <row r="2531" spans="1:21">
      <c r="A2531" s="136"/>
      <c r="S2531"/>
      <c r="T2531"/>
      <c r="U2531"/>
    </row>
    <row r="2532" spans="1:21">
      <c r="A2532" s="136"/>
      <c r="S2532"/>
      <c r="T2532"/>
      <c r="U2532"/>
    </row>
    <row r="2533" spans="1:21">
      <c r="A2533" s="136"/>
      <c r="S2533"/>
      <c r="T2533"/>
      <c r="U2533"/>
    </row>
    <row r="2534" spans="1:21">
      <c r="A2534" s="136"/>
      <c r="S2534"/>
      <c r="T2534"/>
      <c r="U2534"/>
    </row>
    <row r="2535" spans="1:21">
      <c r="A2535" s="136"/>
      <c r="S2535"/>
      <c r="T2535"/>
      <c r="U2535"/>
    </row>
    <row r="2536" spans="1:21">
      <c r="A2536" s="136"/>
      <c r="S2536"/>
      <c r="T2536"/>
      <c r="U2536"/>
    </row>
    <row r="2537" spans="1:21">
      <c r="A2537" s="136"/>
      <c r="S2537"/>
      <c r="T2537"/>
      <c r="U2537"/>
    </row>
    <row r="2538" spans="1:21">
      <c r="A2538" s="136"/>
      <c r="S2538"/>
      <c r="T2538"/>
      <c r="U2538"/>
    </row>
    <row r="2539" spans="1:21">
      <c r="A2539" s="136"/>
      <c r="S2539"/>
      <c r="T2539"/>
      <c r="U2539"/>
    </row>
    <row r="2540" spans="1:21">
      <c r="A2540" s="136"/>
      <c r="S2540"/>
      <c r="T2540"/>
      <c r="U2540"/>
    </row>
    <row r="2541" spans="1:21">
      <c r="A2541" s="136"/>
      <c r="S2541"/>
      <c r="T2541"/>
      <c r="U2541"/>
    </row>
    <row r="2542" spans="1:21">
      <c r="A2542" s="136"/>
      <c r="S2542"/>
      <c r="T2542"/>
      <c r="U2542"/>
    </row>
    <row r="2543" spans="1:21">
      <c r="A2543" s="136"/>
      <c r="S2543"/>
      <c r="T2543"/>
      <c r="U2543"/>
    </row>
    <row r="2544" spans="1:21">
      <c r="A2544" s="136"/>
      <c r="S2544"/>
      <c r="T2544"/>
      <c r="U2544"/>
    </row>
    <row r="2545" spans="1:21">
      <c r="A2545" s="136"/>
      <c r="S2545"/>
      <c r="T2545"/>
      <c r="U2545"/>
    </row>
    <row r="2546" spans="1:21">
      <c r="A2546" s="136"/>
      <c r="S2546"/>
      <c r="T2546"/>
      <c r="U2546"/>
    </row>
    <row r="2547" spans="1:21">
      <c r="A2547" s="136"/>
      <c r="S2547"/>
      <c r="T2547"/>
      <c r="U2547"/>
    </row>
    <row r="2548" spans="1:21">
      <c r="A2548" s="136"/>
      <c r="S2548"/>
      <c r="T2548"/>
      <c r="U2548"/>
    </row>
    <row r="2549" spans="1:21">
      <c r="A2549" s="136"/>
      <c r="S2549"/>
      <c r="T2549"/>
      <c r="U2549"/>
    </row>
    <row r="2550" spans="1:21">
      <c r="A2550" s="136"/>
      <c r="S2550"/>
      <c r="T2550"/>
      <c r="U2550"/>
    </row>
    <row r="2551" spans="1:21">
      <c r="A2551" s="136"/>
      <c r="S2551"/>
      <c r="T2551"/>
      <c r="U2551"/>
    </row>
    <row r="2552" spans="1:21">
      <c r="A2552" s="136"/>
      <c r="S2552"/>
      <c r="T2552"/>
      <c r="U2552"/>
    </row>
    <row r="2553" spans="1:21">
      <c r="A2553" s="136"/>
      <c r="S2553"/>
      <c r="T2553"/>
      <c r="U2553"/>
    </row>
    <row r="2554" spans="1:21">
      <c r="A2554" s="136"/>
      <c r="S2554"/>
      <c r="T2554"/>
      <c r="U2554"/>
    </row>
    <row r="2555" spans="1:21">
      <c r="A2555" s="136"/>
      <c r="S2555"/>
      <c r="T2555"/>
      <c r="U2555"/>
    </row>
    <row r="2556" spans="1:21">
      <c r="A2556" s="136"/>
      <c r="S2556"/>
      <c r="T2556"/>
      <c r="U2556"/>
    </row>
    <row r="2557" spans="1:21">
      <c r="A2557" s="136"/>
      <c r="S2557"/>
      <c r="T2557"/>
      <c r="U2557"/>
    </row>
    <row r="2558" spans="1:21">
      <c r="A2558" s="136"/>
      <c r="S2558"/>
      <c r="T2558"/>
      <c r="U2558"/>
    </row>
    <row r="2559" spans="1:21">
      <c r="A2559" s="136"/>
      <c r="S2559"/>
      <c r="T2559"/>
      <c r="U2559"/>
    </row>
    <row r="2560" spans="1:21">
      <c r="A2560" s="136"/>
      <c r="S2560"/>
      <c r="T2560"/>
      <c r="U2560"/>
    </row>
    <row r="2561" spans="1:21">
      <c r="A2561" s="136"/>
      <c r="S2561"/>
      <c r="T2561"/>
      <c r="U2561"/>
    </row>
    <row r="2562" spans="1:21">
      <c r="A2562" s="136"/>
      <c r="S2562"/>
      <c r="T2562"/>
      <c r="U2562"/>
    </row>
    <row r="2563" spans="1:21">
      <c r="A2563" s="136"/>
      <c r="S2563"/>
      <c r="T2563"/>
      <c r="U2563"/>
    </row>
    <row r="2564" spans="1:21">
      <c r="A2564" s="136"/>
      <c r="S2564"/>
      <c r="T2564"/>
      <c r="U2564"/>
    </row>
    <row r="2565" spans="1:21">
      <c r="A2565" s="136"/>
      <c r="S2565"/>
      <c r="T2565"/>
      <c r="U2565"/>
    </row>
    <row r="2566" spans="1:21">
      <c r="A2566" s="136"/>
      <c r="S2566"/>
      <c r="T2566"/>
      <c r="U2566"/>
    </row>
    <row r="2567" spans="1:21">
      <c r="A2567" s="136"/>
      <c r="S2567"/>
      <c r="T2567"/>
      <c r="U2567"/>
    </row>
    <row r="2568" spans="1:21">
      <c r="A2568" s="136"/>
      <c r="S2568"/>
      <c r="T2568"/>
      <c r="U2568"/>
    </row>
    <row r="2569" spans="1:21">
      <c r="A2569" s="136"/>
      <c r="S2569"/>
      <c r="T2569"/>
      <c r="U2569"/>
    </row>
    <row r="2570" spans="1:21">
      <c r="A2570" s="136"/>
      <c r="S2570"/>
      <c r="T2570"/>
      <c r="U2570"/>
    </row>
    <row r="2571" spans="1:21">
      <c r="A2571" s="136"/>
      <c r="S2571"/>
      <c r="T2571"/>
      <c r="U2571"/>
    </row>
    <row r="2572" spans="1:21">
      <c r="A2572" s="136"/>
      <c r="S2572"/>
      <c r="T2572"/>
      <c r="U2572"/>
    </row>
    <row r="2573" spans="1:21">
      <c r="A2573" s="136"/>
      <c r="S2573"/>
      <c r="T2573"/>
      <c r="U2573"/>
    </row>
    <row r="2574" spans="1:21">
      <c r="A2574" s="136"/>
      <c r="S2574"/>
      <c r="T2574"/>
      <c r="U2574"/>
    </row>
    <row r="2575" spans="1:21">
      <c r="A2575" s="136"/>
      <c r="S2575"/>
      <c r="T2575"/>
      <c r="U2575"/>
    </row>
    <row r="2576" spans="1:21">
      <c r="A2576" s="136"/>
      <c r="S2576"/>
      <c r="T2576"/>
      <c r="U2576"/>
    </row>
    <row r="2577" spans="1:21">
      <c r="A2577" s="136"/>
      <c r="S2577"/>
      <c r="T2577"/>
      <c r="U2577"/>
    </row>
    <row r="2578" spans="1:21">
      <c r="A2578" s="136"/>
      <c r="S2578"/>
      <c r="T2578"/>
      <c r="U2578"/>
    </row>
    <row r="2579" spans="1:21">
      <c r="A2579" s="136"/>
      <c r="S2579"/>
      <c r="T2579"/>
      <c r="U2579"/>
    </row>
    <row r="2580" spans="1:21">
      <c r="A2580" s="136"/>
      <c r="S2580"/>
      <c r="T2580"/>
      <c r="U2580"/>
    </row>
    <row r="2581" spans="1:21">
      <c r="A2581" s="136"/>
      <c r="S2581"/>
      <c r="T2581"/>
      <c r="U2581"/>
    </row>
    <row r="2582" spans="1:21">
      <c r="A2582" s="136"/>
      <c r="S2582"/>
      <c r="T2582"/>
      <c r="U2582"/>
    </row>
    <row r="2583" spans="1:21">
      <c r="A2583" s="136"/>
      <c r="S2583"/>
      <c r="T2583"/>
      <c r="U2583"/>
    </row>
    <row r="2584" spans="1:21">
      <c r="A2584" s="136"/>
      <c r="S2584"/>
      <c r="T2584"/>
      <c r="U2584"/>
    </row>
    <row r="2585" spans="1:21">
      <c r="A2585" s="136"/>
      <c r="S2585"/>
      <c r="T2585"/>
      <c r="U2585"/>
    </row>
    <row r="2586" spans="1:21">
      <c r="A2586" s="136"/>
      <c r="S2586"/>
      <c r="T2586"/>
      <c r="U2586"/>
    </row>
    <row r="2587" spans="1:21">
      <c r="A2587" s="136"/>
      <c r="S2587"/>
      <c r="T2587"/>
      <c r="U2587"/>
    </row>
    <row r="2588" spans="1:21">
      <c r="A2588" s="136"/>
      <c r="S2588"/>
      <c r="T2588"/>
      <c r="U2588"/>
    </row>
    <row r="2589" spans="1:21">
      <c r="A2589" s="136"/>
      <c r="S2589"/>
      <c r="T2589"/>
      <c r="U2589"/>
    </row>
    <row r="2590" spans="1:21">
      <c r="A2590" s="136"/>
      <c r="S2590"/>
      <c r="T2590"/>
      <c r="U2590"/>
    </row>
    <row r="2591" spans="1:21">
      <c r="A2591" s="136"/>
      <c r="S2591"/>
      <c r="T2591"/>
      <c r="U2591"/>
    </row>
    <row r="2592" spans="1:21">
      <c r="A2592" s="136"/>
      <c r="S2592"/>
      <c r="T2592"/>
      <c r="U2592"/>
    </row>
    <row r="2593" spans="1:21">
      <c r="A2593" s="136"/>
      <c r="S2593"/>
      <c r="T2593"/>
      <c r="U2593"/>
    </row>
    <row r="2594" spans="1:21">
      <c r="A2594" s="136"/>
      <c r="S2594"/>
      <c r="T2594"/>
      <c r="U2594"/>
    </row>
    <row r="2595" spans="1:21">
      <c r="A2595" s="136"/>
      <c r="S2595"/>
      <c r="T2595"/>
      <c r="U2595"/>
    </row>
    <row r="2596" spans="1:21">
      <c r="A2596" s="136"/>
      <c r="S2596"/>
      <c r="T2596"/>
      <c r="U2596"/>
    </row>
    <row r="2597" spans="1:21">
      <c r="A2597" s="136"/>
      <c r="S2597"/>
      <c r="T2597"/>
      <c r="U2597"/>
    </row>
    <row r="2598" spans="1:21">
      <c r="A2598" s="136"/>
      <c r="S2598"/>
      <c r="T2598"/>
      <c r="U2598"/>
    </row>
    <row r="2599" spans="1:21">
      <c r="A2599" s="136"/>
      <c r="S2599"/>
      <c r="T2599"/>
      <c r="U2599"/>
    </row>
    <row r="2600" spans="1:21">
      <c r="A2600" s="136"/>
      <c r="S2600"/>
      <c r="T2600"/>
      <c r="U2600"/>
    </row>
    <row r="2601" spans="1:21">
      <c r="A2601" s="136"/>
      <c r="S2601"/>
      <c r="T2601"/>
      <c r="U2601"/>
    </row>
    <row r="2602" spans="1:21">
      <c r="A2602" s="136"/>
      <c r="S2602"/>
      <c r="T2602"/>
      <c r="U2602"/>
    </row>
    <row r="2603" spans="1:21">
      <c r="A2603" s="136"/>
      <c r="S2603"/>
      <c r="T2603"/>
      <c r="U2603"/>
    </row>
    <row r="2604" spans="1:21">
      <c r="A2604" s="136"/>
      <c r="S2604"/>
      <c r="T2604"/>
      <c r="U2604"/>
    </row>
    <row r="2605" spans="1:21">
      <c r="A2605" s="136"/>
      <c r="S2605"/>
      <c r="T2605"/>
      <c r="U2605"/>
    </row>
    <row r="2606" spans="1:21">
      <c r="A2606" s="136"/>
      <c r="S2606"/>
      <c r="T2606"/>
      <c r="U2606"/>
    </row>
    <row r="2607" spans="1:21">
      <c r="A2607" s="136"/>
      <c r="S2607"/>
      <c r="T2607"/>
      <c r="U2607"/>
    </row>
    <row r="2608" spans="1:21">
      <c r="A2608" s="136"/>
      <c r="S2608"/>
      <c r="T2608"/>
      <c r="U2608"/>
    </row>
    <row r="2609" spans="1:21">
      <c r="A2609" s="136"/>
      <c r="S2609"/>
      <c r="T2609"/>
      <c r="U2609"/>
    </row>
    <row r="2610" spans="1:21">
      <c r="A2610" s="136"/>
      <c r="S2610"/>
      <c r="T2610"/>
      <c r="U2610"/>
    </row>
    <row r="2611" spans="1:21">
      <c r="A2611" s="136"/>
      <c r="S2611"/>
      <c r="T2611"/>
      <c r="U2611"/>
    </row>
    <row r="2612" spans="1:21">
      <c r="A2612" s="136"/>
      <c r="S2612"/>
      <c r="T2612"/>
      <c r="U2612"/>
    </row>
    <row r="2613" spans="1:21">
      <c r="A2613" s="136"/>
      <c r="S2613"/>
      <c r="T2613"/>
      <c r="U2613"/>
    </row>
    <row r="2614" spans="1:21">
      <c r="A2614" s="136"/>
      <c r="S2614"/>
      <c r="T2614"/>
      <c r="U2614"/>
    </row>
    <row r="2615" spans="1:21">
      <c r="A2615" s="136"/>
      <c r="S2615"/>
      <c r="T2615"/>
      <c r="U2615"/>
    </row>
    <row r="2616" spans="1:21">
      <c r="A2616" s="136"/>
      <c r="S2616"/>
      <c r="T2616"/>
      <c r="U2616"/>
    </row>
    <row r="2617" spans="1:21">
      <c r="A2617" s="136"/>
      <c r="S2617"/>
      <c r="T2617"/>
      <c r="U2617"/>
    </row>
    <row r="2618" spans="1:21">
      <c r="A2618" s="136"/>
      <c r="S2618"/>
      <c r="T2618"/>
      <c r="U2618"/>
    </row>
    <row r="2619" spans="1:21">
      <c r="A2619" s="136"/>
      <c r="S2619"/>
      <c r="T2619"/>
      <c r="U2619"/>
    </row>
    <row r="2620" spans="1:21">
      <c r="A2620" s="136"/>
      <c r="S2620"/>
      <c r="T2620"/>
      <c r="U2620"/>
    </row>
    <row r="2621" spans="1:21">
      <c r="A2621" s="136"/>
      <c r="S2621"/>
      <c r="T2621"/>
      <c r="U2621"/>
    </row>
    <row r="2622" spans="1:21">
      <c r="A2622" s="136"/>
      <c r="S2622"/>
      <c r="T2622"/>
      <c r="U2622"/>
    </row>
    <row r="2623" spans="1:21">
      <c r="A2623" s="136"/>
      <c r="S2623"/>
      <c r="T2623"/>
      <c r="U2623"/>
    </row>
    <row r="2624" spans="1:21">
      <c r="A2624" s="136"/>
      <c r="S2624"/>
      <c r="T2624"/>
      <c r="U2624"/>
    </row>
    <row r="2625" spans="1:21">
      <c r="A2625" s="136"/>
      <c r="S2625"/>
      <c r="T2625"/>
      <c r="U2625"/>
    </row>
    <row r="2626" spans="1:21">
      <c r="A2626" s="136"/>
      <c r="S2626"/>
      <c r="T2626"/>
      <c r="U2626"/>
    </row>
    <row r="2627" spans="1:21">
      <c r="A2627" s="136"/>
      <c r="S2627"/>
      <c r="T2627"/>
      <c r="U2627"/>
    </row>
    <row r="2628" spans="1:21">
      <c r="A2628" s="136"/>
      <c r="S2628"/>
      <c r="T2628"/>
      <c r="U2628"/>
    </row>
    <row r="2629" spans="1:21">
      <c r="A2629" s="136"/>
      <c r="S2629"/>
      <c r="T2629"/>
      <c r="U2629"/>
    </row>
    <row r="2630" spans="1:21">
      <c r="A2630" s="136"/>
      <c r="S2630"/>
      <c r="T2630"/>
      <c r="U2630"/>
    </row>
    <row r="2631" spans="1:21">
      <c r="A2631" s="136"/>
      <c r="S2631"/>
      <c r="T2631"/>
      <c r="U2631"/>
    </row>
    <row r="2632" spans="1:21">
      <c r="A2632" s="136"/>
      <c r="S2632"/>
      <c r="T2632"/>
      <c r="U2632"/>
    </row>
    <row r="2633" spans="1:21">
      <c r="A2633" s="136"/>
      <c r="S2633"/>
      <c r="T2633"/>
      <c r="U2633"/>
    </row>
    <row r="2634" spans="1:21">
      <c r="A2634" s="136"/>
      <c r="S2634"/>
      <c r="T2634"/>
      <c r="U2634"/>
    </row>
    <row r="2635" spans="1:21">
      <c r="A2635" s="136"/>
      <c r="S2635"/>
      <c r="T2635"/>
      <c r="U2635"/>
    </row>
    <row r="2636" spans="1:21">
      <c r="A2636" s="136"/>
      <c r="S2636"/>
      <c r="T2636"/>
      <c r="U2636"/>
    </row>
    <row r="2637" spans="1:21">
      <c r="A2637" s="136"/>
      <c r="S2637"/>
      <c r="T2637"/>
      <c r="U2637"/>
    </row>
    <row r="2638" spans="1:21">
      <c r="A2638" s="136"/>
      <c r="S2638"/>
      <c r="T2638"/>
      <c r="U2638"/>
    </row>
    <row r="2639" spans="1:21">
      <c r="A2639" s="136"/>
      <c r="S2639"/>
      <c r="T2639"/>
      <c r="U2639"/>
    </row>
    <row r="2640" spans="1:21">
      <c r="A2640" s="136"/>
      <c r="S2640"/>
      <c r="T2640"/>
      <c r="U2640"/>
    </row>
    <row r="2641" spans="1:21">
      <c r="A2641" s="136"/>
      <c r="S2641"/>
      <c r="T2641"/>
      <c r="U2641"/>
    </row>
    <row r="2642" spans="1:21">
      <c r="A2642" s="136"/>
      <c r="S2642"/>
      <c r="T2642"/>
      <c r="U2642"/>
    </row>
    <row r="2643" spans="1:21">
      <c r="A2643" s="136"/>
      <c r="S2643"/>
      <c r="T2643"/>
      <c r="U2643"/>
    </row>
    <row r="2644" spans="1:21">
      <c r="A2644" s="136"/>
      <c r="S2644"/>
      <c r="T2644"/>
      <c r="U2644"/>
    </row>
    <row r="2645" spans="1:21">
      <c r="A2645" s="136"/>
      <c r="S2645"/>
      <c r="T2645"/>
      <c r="U2645"/>
    </row>
    <row r="2646" spans="1:21">
      <c r="A2646" s="136"/>
      <c r="S2646"/>
      <c r="T2646"/>
      <c r="U2646"/>
    </row>
    <row r="2647" spans="1:21">
      <c r="A2647" s="136"/>
      <c r="S2647"/>
      <c r="T2647"/>
      <c r="U2647"/>
    </row>
    <row r="2648" spans="1:21">
      <c r="A2648" s="136"/>
      <c r="S2648"/>
      <c r="T2648"/>
      <c r="U2648"/>
    </row>
    <row r="2649" spans="1:21">
      <c r="A2649" s="136"/>
      <c r="S2649"/>
      <c r="T2649"/>
      <c r="U2649"/>
    </row>
    <row r="2650" spans="1:21">
      <c r="A2650" s="136"/>
      <c r="S2650"/>
      <c r="T2650"/>
      <c r="U2650"/>
    </row>
    <row r="2651" spans="1:21">
      <c r="A2651" s="136"/>
      <c r="S2651"/>
      <c r="T2651"/>
      <c r="U2651"/>
    </row>
    <row r="2652" spans="1:21">
      <c r="A2652" s="136"/>
      <c r="S2652"/>
      <c r="T2652"/>
      <c r="U2652"/>
    </row>
    <row r="2653" spans="1:21">
      <c r="A2653" s="136"/>
      <c r="S2653"/>
      <c r="T2653"/>
      <c r="U2653"/>
    </row>
    <row r="2654" spans="1:21">
      <c r="A2654" s="136"/>
      <c r="S2654"/>
      <c r="T2654"/>
      <c r="U2654"/>
    </row>
    <row r="2655" spans="1:21">
      <c r="A2655" s="136"/>
      <c r="S2655"/>
      <c r="T2655"/>
      <c r="U2655"/>
    </row>
    <row r="2656" spans="1:21">
      <c r="A2656" s="136"/>
      <c r="S2656"/>
      <c r="T2656"/>
      <c r="U2656"/>
    </row>
    <row r="2657" spans="1:21">
      <c r="A2657" s="136"/>
      <c r="S2657"/>
      <c r="T2657"/>
      <c r="U2657"/>
    </row>
    <row r="2658" spans="1:21">
      <c r="A2658" s="136"/>
      <c r="S2658"/>
      <c r="T2658"/>
      <c r="U2658"/>
    </row>
    <row r="2659" spans="1:21">
      <c r="A2659" s="136"/>
      <c r="S2659"/>
      <c r="T2659"/>
      <c r="U2659"/>
    </row>
    <row r="2660" spans="1:21">
      <c r="A2660" s="136"/>
      <c r="S2660"/>
      <c r="T2660"/>
      <c r="U2660"/>
    </row>
    <row r="2661" spans="1:21">
      <c r="A2661" s="136"/>
      <c r="S2661"/>
      <c r="T2661"/>
      <c r="U2661"/>
    </row>
    <row r="2662" spans="1:21">
      <c r="A2662" s="136"/>
      <c r="S2662"/>
      <c r="T2662"/>
      <c r="U2662"/>
    </row>
    <row r="2663" spans="1:21">
      <c r="A2663" s="136"/>
      <c r="S2663"/>
      <c r="T2663"/>
      <c r="U2663"/>
    </row>
    <row r="2664" spans="1:21">
      <c r="A2664" s="136"/>
      <c r="S2664"/>
      <c r="T2664"/>
      <c r="U2664"/>
    </row>
    <row r="2665" spans="1:21">
      <c r="A2665" s="136"/>
      <c r="S2665"/>
      <c r="T2665"/>
      <c r="U2665"/>
    </row>
    <row r="2666" spans="1:21">
      <c r="A2666" s="136"/>
      <c r="S2666"/>
      <c r="T2666"/>
      <c r="U2666"/>
    </row>
    <row r="2667" spans="1:21">
      <c r="A2667" s="136"/>
      <c r="S2667"/>
      <c r="T2667"/>
      <c r="U2667"/>
    </row>
    <row r="2668" spans="1:21">
      <c r="A2668" s="136"/>
      <c r="S2668"/>
      <c r="T2668"/>
      <c r="U2668"/>
    </row>
    <row r="2669" spans="1:21">
      <c r="A2669" s="136"/>
      <c r="S2669"/>
      <c r="T2669"/>
      <c r="U2669"/>
    </row>
    <row r="2670" spans="1:21">
      <c r="A2670" s="136"/>
      <c r="S2670"/>
      <c r="T2670"/>
      <c r="U2670"/>
    </row>
    <row r="2671" spans="1:21">
      <c r="A2671" s="136"/>
      <c r="S2671"/>
      <c r="T2671"/>
      <c r="U2671"/>
    </row>
    <row r="2672" spans="1:21">
      <c r="A2672" s="136"/>
      <c r="S2672"/>
      <c r="T2672"/>
      <c r="U2672"/>
    </row>
    <row r="2673" spans="1:21">
      <c r="A2673" s="136"/>
      <c r="S2673"/>
      <c r="T2673"/>
      <c r="U2673"/>
    </row>
    <row r="2674" spans="1:21">
      <c r="A2674" s="136"/>
      <c r="S2674"/>
      <c r="T2674"/>
      <c r="U2674"/>
    </row>
    <row r="2675" spans="1:21">
      <c r="A2675" s="136"/>
      <c r="S2675"/>
      <c r="T2675"/>
      <c r="U2675"/>
    </row>
    <row r="2676" spans="1:21">
      <c r="A2676" s="136"/>
      <c r="S2676"/>
      <c r="T2676"/>
      <c r="U2676"/>
    </row>
    <row r="2677" spans="1:21">
      <c r="A2677" s="136"/>
      <c r="S2677"/>
      <c r="T2677"/>
      <c r="U2677"/>
    </row>
    <row r="2678" spans="1:21">
      <c r="A2678" s="136"/>
      <c r="S2678"/>
      <c r="T2678"/>
      <c r="U2678"/>
    </row>
    <row r="2679" spans="1:21">
      <c r="A2679" s="136"/>
      <c r="S2679"/>
      <c r="T2679"/>
      <c r="U2679"/>
    </row>
    <row r="2680" spans="1:21">
      <c r="A2680" s="136"/>
      <c r="S2680"/>
      <c r="T2680"/>
      <c r="U2680"/>
    </row>
    <row r="2681" spans="1:21">
      <c r="A2681" s="136"/>
      <c r="S2681"/>
      <c r="T2681"/>
      <c r="U2681"/>
    </row>
    <row r="2682" spans="1:21">
      <c r="A2682" s="136"/>
      <c r="S2682"/>
      <c r="T2682"/>
      <c r="U2682"/>
    </row>
    <row r="2683" spans="1:21">
      <c r="A2683" s="136"/>
      <c r="S2683"/>
      <c r="T2683"/>
      <c r="U2683"/>
    </row>
    <row r="2684" spans="1:21">
      <c r="A2684" s="136"/>
      <c r="S2684"/>
      <c r="T2684"/>
      <c r="U2684"/>
    </row>
    <row r="2685" spans="1:21">
      <c r="A2685" s="136"/>
      <c r="S2685"/>
      <c r="T2685"/>
      <c r="U2685"/>
    </row>
    <row r="2686" spans="1:21">
      <c r="A2686" s="136"/>
      <c r="S2686"/>
      <c r="T2686"/>
      <c r="U2686"/>
    </row>
    <row r="2687" spans="1:21">
      <c r="A2687" s="136"/>
      <c r="S2687"/>
      <c r="T2687"/>
      <c r="U2687"/>
    </row>
    <row r="2688" spans="1:21">
      <c r="A2688" s="136"/>
      <c r="S2688"/>
      <c r="T2688"/>
      <c r="U2688"/>
    </row>
    <row r="2689" spans="1:21">
      <c r="A2689" s="136"/>
      <c r="S2689"/>
      <c r="T2689"/>
      <c r="U2689"/>
    </row>
    <row r="2690" spans="1:21">
      <c r="A2690" s="136"/>
      <c r="S2690"/>
      <c r="T2690"/>
      <c r="U2690"/>
    </row>
    <row r="2691" spans="1:21">
      <c r="A2691" s="136"/>
      <c r="S2691"/>
      <c r="T2691"/>
      <c r="U2691"/>
    </row>
    <row r="2692" spans="1:21">
      <c r="A2692" s="136"/>
      <c r="S2692"/>
      <c r="T2692"/>
      <c r="U2692"/>
    </row>
    <row r="2693" spans="1:21">
      <c r="A2693" s="136"/>
      <c r="S2693"/>
      <c r="T2693"/>
      <c r="U2693"/>
    </row>
    <row r="2694" spans="1:21">
      <c r="A2694" s="136"/>
      <c r="S2694"/>
      <c r="T2694"/>
      <c r="U2694"/>
    </row>
    <row r="2695" spans="1:21">
      <c r="A2695" s="136"/>
      <c r="S2695"/>
      <c r="T2695"/>
      <c r="U2695"/>
    </row>
    <row r="2696" spans="1:21">
      <c r="A2696" s="136"/>
      <c r="S2696"/>
      <c r="T2696"/>
      <c r="U2696"/>
    </row>
  </sheetData>
  <mergeCells count="6">
    <mergeCell ref="B2426:C2426"/>
    <mergeCell ref="B1799:C1799"/>
    <mergeCell ref="B1949:C1949"/>
    <mergeCell ref="B2050:C2050"/>
    <mergeCell ref="B2072:C2072"/>
    <mergeCell ref="B2091:C2091"/>
  </mergeCells>
  <dataValidations count="1">
    <dataValidation allowBlank="1" showDropDown="1" showInputMessage="1" showErrorMessage="1" sqref="C1990:C1997 C1999:C2010 C2012:C2030 C1967:D1971 D1972 C1980:C1983 D1977:D2031" xr:uid="{00000000-0002-0000-0200-000000000000}"/>
  </dataValidations>
  <pageMargins left="1.3" right="1.3" top="0.4" bottom="0.45" header="0.3" footer="0.3"/>
  <pageSetup scale="46" fitToHeight="0" orientation="landscape" r:id="rId1"/>
  <headerFooter>
    <oddFooter>&amp;C&amp;14Tab 4. Consolidated 20-Year Projection by Asset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CIP</vt:lpstr>
      <vt:lpstr>Lists</vt:lpstr>
      <vt:lpstr>20 Year Plan</vt:lpstr>
      <vt:lpstr>CondWeight</vt:lpstr>
      <vt:lpstr>Consequence_Ratings</vt:lpstr>
      <vt:lpstr>Efactor</vt:lpstr>
      <vt:lpstr>Funding_Source</vt:lpstr>
      <vt:lpstr>Overall_Condition</vt:lpstr>
      <vt:lpstr>Percent_Life_Left</vt:lpstr>
      <vt:lpstr>PLifeWeight</vt:lpstr>
      <vt:lpstr>'20 Year Plan'!Print_Area</vt:lpstr>
      <vt:lpstr>CIP!Print_Area</vt:lpstr>
      <vt:lpstr>'20 Year Plan'!Print_Titles</vt:lpstr>
      <vt:lpstr>CIP!Print_Titles</vt:lpstr>
      <vt:lpstr>t</vt:lpstr>
      <vt:lpstr>Weight1</vt:lpstr>
      <vt:lpstr>Weight2</vt:lpstr>
      <vt:lpstr>Weight3</vt:lpstr>
      <vt:lpstr>Weight4</vt:lpstr>
      <vt:lpstr>Weight5</vt:lpstr>
      <vt:lpstr>Weight6</vt:lpstr>
      <vt:lpstr>Weight7</vt:lpstr>
      <vt:lpstr>Weight8</vt:lpstr>
      <vt:lpstr>WSum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Perez</dc:creator>
  <cp:lastModifiedBy>Gregory Ansaldi</cp:lastModifiedBy>
  <cp:lastPrinted>2013-05-20T16:35:35Z</cp:lastPrinted>
  <dcterms:created xsi:type="dcterms:W3CDTF">2012-07-10T14:48:06Z</dcterms:created>
  <dcterms:modified xsi:type="dcterms:W3CDTF">2020-11-10T15:12:41Z</dcterms:modified>
</cp:coreProperties>
</file>